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C:\Users\sala.onu\Desktop\Saint Lucia\SLNCV2019_tabulados\SLNCVS2020_5June2020_END\"/>
    </mc:Choice>
  </mc:AlternateContent>
  <xr:revisionPtr revIDLastSave="0" documentId="13_ncr:1_{34809B74-F793-4BC0-BC18-9B477A338D9F}" xr6:coauthVersionLast="36" xr6:coauthVersionMax="36" xr10:uidLastSave="{00000000-0000-0000-0000-000000000000}"/>
  <bookViews>
    <workbookView xWindow="0" yWindow="0" windowWidth="16380" windowHeight="8190" tabRatio="500" xr2:uid="{00000000-000D-0000-FFFF-FFFF00000000}"/>
  </bookViews>
  <sheets>
    <sheet name="Index" sheetId="1" r:id="rId1"/>
    <sheet name="3.1" sheetId="3" r:id="rId2"/>
    <sheet name="3.2" sheetId="2" r:id="rId3"/>
    <sheet name="3.3" sheetId="4" r:id="rId4"/>
    <sheet name="3.4" sheetId="5" r:id="rId5"/>
    <sheet name="3.5" sheetId="6" r:id="rId6"/>
    <sheet name="3.6" sheetId="8" r:id="rId7"/>
    <sheet name="3.7" sheetId="9" r:id="rId8"/>
  </sheets>
  <definedNames>
    <definedName name="_Hlk33004295" localSheetId="0">Index!$A$3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N14" i="9" l="1"/>
  <c r="K14" i="9"/>
  <c r="H14" i="9"/>
  <c r="E14" i="9"/>
  <c r="N13" i="9"/>
  <c r="K13" i="9"/>
  <c r="H13" i="9"/>
  <c r="E13" i="9"/>
  <c r="H12" i="9"/>
  <c r="E12" i="9"/>
  <c r="N11" i="9"/>
  <c r="K11" i="9"/>
  <c r="H11" i="9"/>
  <c r="E11" i="9"/>
  <c r="H13" i="8"/>
  <c r="E13" i="8"/>
  <c r="H12" i="8"/>
  <c r="E12" i="8"/>
  <c r="H11" i="8"/>
  <c r="E11" i="8"/>
  <c r="H14" i="6"/>
  <c r="E14" i="6"/>
  <c r="H13" i="6"/>
  <c r="E13" i="6"/>
  <c r="H12" i="6"/>
  <c r="E12" i="6"/>
  <c r="H11" i="6"/>
  <c r="E11" i="6"/>
  <c r="Z13" i="5"/>
  <c r="W13" i="5"/>
  <c r="T13" i="5"/>
  <c r="Q13" i="5"/>
  <c r="N13" i="5"/>
  <c r="H13" i="5"/>
  <c r="E13" i="5"/>
  <c r="Z12" i="5"/>
  <c r="W12" i="5"/>
  <c r="T12" i="5"/>
  <c r="Q12" i="5"/>
  <c r="N12" i="5"/>
  <c r="H12" i="5"/>
  <c r="E12" i="5"/>
  <c r="N11" i="5"/>
  <c r="H11" i="5"/>
  <c r="E11" i="5"/>
  <c r="Z10" i="5"/>
  <c r="W10" i="5"/>
  <c r="T10" i="5"/>
  <c r="Q10" i="5"/>
  <c r="N10" i="5"/>
  <c r="H10" i="5"/>
  <c r="E10" i="5"/>
  <c r="N14" i="4"/>
  <c r="K14" i="4"/>
  <c r="H14" i="4"/>
  <c r="E14" i="4"/>
  <c r="K13" i="4"/>
  <c r="H13" i="4"/>
  <c r="E13" i="4"/>
  <c r="K12" i="4"/>
  <c r="H12" i="4"/>
  <c r="E12" i="4"/>
  <c r="N11" i="4"/>
  <c r="K11" i="4"/>
  <c r="E11" i="4"/>
  <c r="N10" i="4"/>
  <c r="K10" i="4"/>
  <c r="H10" i="4"/>
  <c r="E10" i="4"/>
  <c r="N13" i="3"/>
  <c r="K13" i="3"/>
  <c r="H13" i="3"/>
  <c r="E13" i="3"/>
  <c r="N12" i="3"/>
  <c r="K12" i="3"/>
  <c r="H12" i="3"/>
  <c r="E12" i="3"/>
  <c r="N11" i="3"/>
  <c r="K11" i="3"/>
  <c r="H11" i="3"/>
  <c r="E11" i="3"/>
  <c r="N14" i="2"/>
  <c r="K14" i="2"/>
  <c r="H14" i="2"/>
  <c r="E14" i="2"/>
  <c r="N13" i="2"/>
  <c r="K13" i="2"/>
  <c r="H13" i="2"/>
  <c r="E13" i="2"/>
  <c r="N12" i="2"/>
  <c r="K12" i="2"/>
  <c r="H12" i="2"/>
  <c r="E12" i="2"/>
  <c r="N11" i="2"/>
  <c r="K11" i="2"/>
  <c r="H11" i="2"/>
  <c r="E11" i="2"/>
  <c r="N10" i="2"/>
  <c r="K10" i="2"/>
  <c r="H10" i="2"/>
  <c r="E10" i="2"/>
</calcChain>
</file>

<file path=xl/sharedStrings.xml><?xml version="1.0" encoding="utf-8"?>
<sst xmlns="http://schemas.openxmlformats.org/spreadsheetml/2006/main" count="266" uniqueCount="87">
  <si>
    <t xml:space="preserve">SAINT LUCIA NATIONAL CRIME VICTIMIZATION SURVEY 2020 (SLNCVS). Basic tables. </t>
  </si>
  <si>
    <t xml:space="preserve"> </t>
  </si>
  <si>
    <t>Table 3.1</t>
  </si>
  <si>
    <t>Index</t>
  </si>
  <si>
    <t>September 2018 to August 2019</t>
  </si>
  <si>
    <t>Geographic area
   Type of crime</t>
  </si>
  <si>
    <t>Crimes where the victim was present</t>
  </si>
  <si>
    <t>One</t>
  </si>
  <si>
    <t>Two</t>
  </si>
  <si>
    <t>Three</t>
  </si>
  <si>
    <t>More than three</t>
  </si>
  <si>
    <t>Absolute</t>
  </si>
  <si>
    <t>Percentage</t>
  </si>
  <si>
    <t xml:space="preserve">SAINT LUCIA </t>
  </si>
  <si>
    <t>Robbery</t>
  </si>
  <si>
    <t>Cybercrime</t>
  </si>
  <si>
    <t>Assault and injury</t>
  </si>
  <si>
    <t>Threats</t>
  </si>
  <si>
    <r>
      <rPr>
        <sz val="8"/>
        <color rgb="FF000000"/>
        <rFont val="Arial"/>
        <family val="2"/>
        <charset val="1"/>
      </rPr>
      <t xml:space="preserve">Source: SLNCVS. </t>
    </r>
    <r>
      <rPr>
        <i/>
        <sz val="8"/>
        <color rgb="FF000000"/>
        <rFont val="Arial"/>
        <family val="2"/>
        <charset val="1"/>
      </rPr>
      <t>Saint Lucia National Crime Victimization Survey, 2020.</t>
    </r>
  </si>
  <si>
    <t>Geographic Area</t>
  </si>
  <si>
    <t>SAINT LUCIA</t>
  </si>
  <si>
    <t>NORTH (CASTRIES AND GROS ISLET)</t>
  </si>
  <si>
    <t>SOUTH (REMAINING DISTRICTS)</t>
  </si>
  <si>
    <t>Table 3.3</t>
  </si>
  <si>
    <t>Only men</t>
  </si>
  <si>
    <t>Only women</t>
  </si>
  <si>
    <t>Men and women</t>
  </si>
  <si>
    <t>Other</t>
  </si>
  <si>
    <t>N/A</t>
  </si>
  <si>
    <r>
      <rPr>
        <sz val="8"/>
        <color rgb="FF000000"/>
        <rFont val="Arial"/>
        <family val="2"/>
        <charset val="1"/>
      </rPr>
      <t>Cybercrime</t>
    </r>
    <r>
      <rPr>
        <vertAlign val="superscript"/>
        <sz val="8"/>
        <color rgb="FF000000"/>
        <rFont val="Arial"/>
        <family val="2"/>
        <charset val="1"/>
      </rPr>
      <t>1</t>
    </r>
  </si>
  <si>
    <t>Table 3.4</t>
  </si>
  <si>
    <t>Spouse, partner
(at the time)</t>
  </si>
  <si>
    <t>Ex-spouse, ex-partner (at the time)</t>
  </si>
  <si>
    <t>Fiancé/ fiancée
(at the time)</t>
  </si>
  <si>
    <t>Friend (at the time)</t>
  </si>
  <si>
    <t>Relative</t>
  </si>
  <si>
    <t>Somebody you worked with (at the time)</t>
  </si>
  <si>
    <t>Neighbour</t>
  </si>
  <si>
    <t xml:space="preserve">Other (specify) </t>
  </si>
  <si>
    <t>Crimes where the victim was present, by type of crime, by the condition</t>
  </si>
  <si>
    <t>Table 3.5</t>
  </si>
  <si>
    <t>Yes</t>
  </si>
  <si>
    <t>No</t>
  </si>
  <si>
    <t>Table 3.6</t>
  </si>
  <si>
    <t>Crimes where the victim was present, by geographical area, by the condition of use</t>
  </si>
  <si>
    <t>Table 3.7</t>
  </si>
  <si>
    <t>Geographic area</t>
  </si>
  <si>
    <t>Firearm</t>
  </si>
  <si>
    <t xml:space="preserve">Blunt object or other objects used as weapon (bat, stick, pipe, rope, pepper spray, explosives, brass knuckles or other hand weapons, bow and arrows, crossbow, martial arts weapons, etc.) </t>
  </si>
  <si>
    <t xml:space="preserve">Crimes where the victim was present, by geographic area, by number </t>
  </si>
  <si>
    <t>Table 3.2</t>
  </si>
  <si>
    <t>N/A: Not Available</t>
  </si>
  <si>
    <r>
      <t xml:space="preserve">Note 1: The estimates that appear in this tabulation are shadowed according to their level of precision in </t>
    </r>
    <r>
      <rPr>
        <i/>
        <sz val="8"/>
        <color theme="1"/>
        <rFont val="Arial"/>
        <family val="2"/>
      </rPr>
      <t>High</t>
    </r>
    <r>
      <rPr>
        <sz val="8"/>
        <color theme="1"/>
        <rFont val="Arial"/>
        <family val="2"/>
      </rPr>
      <t xml:space="preserve">, </t>
    </r>
    <r>
      <rPr>
        <i/>
        <sz val="8"/>
        <color theme="1"/>
        <rFont val="Arial"/>
        <family val="2"/>
      </rPr>
      <t>Moderate</t>
    </r>
    <r>
      <rPr>
        <sz val="8"/>
        <color theme="1"/>
        <rFont val="Arial"/>
        <family val="2"/>
      </rPr>
      <t xml:space="preserve"> and </t>
    </r>
    <r>
      <rPr>
        <i/>
        <sz val="8"/>
        <color theme="1"/>
        <rFont val="Arial"/>
        <family val="2"/>
      </rPr>
      <t>Low</t>
    </r>
    <r>
      <rPr>
        <sz val="8"/>
        <color theme="1"/>
        <rFont val="Arial"/>
        <family val="2"/>
      </rPr>
      <t>, taking the Coefficient</t>
    </r>
  </si>
  <si>
    <t xml:space="preserve">           a cautious use of the estimates in which the causes of high variability are analyzed and other indicators of precision and reliability are considered, such as the </t>
  </si>
  <si>
    <t xml:space="preserve">           confidence interval. See table below for level of precision of the estimates: </t>
  </si>
  <si>
    <r>
      <rPr>
        <i/>
        <sz val="8"/>
        <color rgb="FF000000"/>
        <rFont val="Arial"/>
        <family val="2"/>
      </rPr>
      <t>High</t>
    </r>
    <r>
      <rPr>
        <sz val="8"/>
        <color rgb="FF000000"/>
        <rFont val="Arial"/>
        <family val="2"/>
      </rPr>
      <t>: Indicates a CV  (%) on a range of [0, 25)</t>
    </r>
  </si>
  <si>
    <r>
      <rPr>
        <i/>
        <sz val="8"/>
        <color rgb="FF000000"/>
        <rFont val="Arial"/>
        <family val="2"/>
      </rPr>
      <t>Moderate</t>
    </r>
    <r>
      <rPr>
        <sz val="8"/>
        <color rgb="FF000000"/>
        <rFont val="Arial"/>
        <family val="2"/>
      </rPr>
      <t>: Indicates a CV  (%) on a range of [25, 50)</t>
    </r>
  </si>
  <si>
    <r>
      <rPr>
        <i/>
        <sz val="8"/>
        <color rgb="FF000000"/>
        <rFont val="Arial"/>
        <family val="2"/>
      </rPr>
      <t>Low</t>
    </r>
    <r>
      <rPr>
        <sz val="8"/>
        <color rgb="FF000000"/>
        <rFont val="Arial"/>
        <family val="2"/>
      </rPr>
      <t>: Indicates a CV  (%) on a range of (50+)</t>
    </r>
  </si>
  <si>
    <r>
      <t>1</t>
    </r>
    <r>
      <rPr>
        <sz val="8"/>
        <color rgb="FF000000"/>
        <rFont val="Arial"/>
        <family val="2"/>
        <charset val="1"/>
      </rPr>
      <t xml:space="preserve"> In the case of cybercrime, another answer option was available: "I cannot tell the real identities of the persons involved from their online identities". This answer option </t>
    </r>
  </si>
  <si>
    <t xml:space="preserve">recorded an absolute of 470 and a percentage of 2.1, with a CV higher than 50. </t>
  </si>
  <si>
    <r>
      <t>Type of weapon</t>
    </r>
    <r>
      <rPr>
        <b/>
        <vertAlign val="superscript"/>
        <sz val="8"/>
        <color rgb="FF000000"/>
        <rFont val="Arial"/>
        <family val="2"/>
      </rPr>
      <t>1</t>
    </r>
  </si>
  <si>
    <r>
      <rPr>
        <vertAlign val="superscript"/>
        <sz val="8"/>
        <color rgb="FF000000"/>
        <rFont val="Arial"/>
        <family val="2"/>
      </rPr>
      <t>1</t>
    </r>
    <r>
      <rPr>
        <sz val="8"/>
        <color rgb="FF000000"/>
        <rFont val="Arial"/>
        <family val="2"/>
        <charset val="1"/>
      </rPr>
      <t xml:space="preserve"> Respondents might have chosen more than one option</t>
    </r>
    <r>
      <rPr>
        <sz val="8"/>
        <color rgb="FF000000"/>
        <rFont val="Arial"/>
        <family val="2"/>
      </rPr>
      <t xml:space="preserve">. </t>
    </r>
  </si>
  <si>
    <r>
      <t xml:space="preserve">           of Variation CV (%) as a reference. If the values are closer to 0 it indicates the estimate is more precise and vice versa. </t>
    </r>
    <r>
      <rPr>
        <i/>
        <sz val="8"/>
        <color theme="1"/>
        <rFont val="Arial"/>
        <family val="2"/>
      </rPr>
      <t xml:space="preserve">Moderate and Low </t>
    </r>
    <r>
      <rPr>
        <sz val="8"/>
        <color theme="1"/>
        <rFont val="Arial"/>
        <family val="2"/>
      </rPr>
      <t xml:space="preserve">precision requires </t>
    </r>
  </si>
  <si>
    <t xml:space="preserve">Crimes where a weapon or any object threatened to used as a weapon was used </t>
  </si>
  <si>
    <t>Knife or sharp object (machete, fishing gun, etc.)</t>
  </si>
  <si>
    <t>III. Characteristics of the perpetrator</t>
  </si>
  <si>
    <t>Crimes where the victim was present, by geographic area, by number of perpetrators that the victim could identify, September 2018 to August 2019</t>
  </si>
  <si>
    <t>Crimes where the victim could identify the perpetrator(s), by type of crime, by the number of perpetrators, September 2018 to August 2019</t>
  </si>
  <si>
    <t>Crimes where the victim was present, by type of crime, by sex of the perpetrator(s), September 2018 to August 2019</t>
  </si>
  <si>
    <t>Crimes where the victim was present by type of crime, by relationship with the perpetrator, September 2018 to August 2019</t>
  </si>
  <si>
    <t>Crimes where the victim was present, by type of crime, by the condition of the perpetrator being under the effect of alcohol or other drugs, September 2018 to August 2019</t>
  </si>
  <si>
    <t>Crimes where the victim was present, by geographical area, by the condition of use of a weapon or any object threatened to use as a weapon by the perpetrator(s), September 2018 to August 2019</t>
  </si>
  <si>
    <t>Crimes where the victim was present and could identify that the perpetrator carried a weapon, by type of crime, by type of weapon, September 2018 to August 2019</t>
  </si>
  <si>
    <t>of perpetrators that the victim could identify</t>
  </si>
  <si>
    <t>Number of perpetrators that the victim could identify</t>
  </si>
  <si>
    <t>Crimes where the victim could identify the perpetrator(s), by type of crime, by the number of perpetrators</t>
  </si>
  <si>
    <t>Crimes where the victim could identify the perpetrator(s)</t>
  </si>
  <si>
    <t>Crimes where the victim was present, by type of crime, by sex of the perpetrator(s)</t>
  </si>
  <si>
    <t>Sex of the perpetrator(s)</t>
  </si>
  <si>
    <t>Crimes where the victim was present by type of crime, by relationship with the perpetrator</t>
  </si>
  <si>
    <t>Relationship with the perpetrator</t>
  </si>
  <si>
    <t>of the perpetrator of being under the influence of alcohol or other drugs</t>
  </si>
  <si>
    <t>Condition of the perpetrator of being under
the influence of alcohol or other drugs</t>
  </si>
  <si>
    <t>of a weapon or any object threatened to used as a weapon by the perpetrator(s)</t>
  </si>
  <si>
    <t>Condition of use of a weapon or any object
threatened to used as a weapon by the perpetrator(s)</t>
  </si>
  <si>
    <t>by the perpetrator(s), by type of crime, by type of weapon</t>
  </si>
  <si>
    <t>Crimes where a weapon or any object
threatened to used as a weapon was used by the perpetrator(s)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</si>
</sst>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0.0"/>
  </numFmts>
  <fonts count="16">
    <font>
      <sz val="11"/>
      <color rgb="FF000000"/>
      <name val="Calibri"/>
      <family val="2"/>
      <charset val="1"/>
    </font>
    <font>
      <sz val="8"/>
      <color rgb="FF000000"/>
      <name val="Arial"/>
      <family val="2"/>
      <charset val="1"/>
    </font>
    <font>
      <b/>
      <sz val="8"/>
      <color rgb="FF000000"/>
      <name val="Arial"/>
      <family val="2"/>
      <charset val="1"/>
    </font>
    <font>
      <b/>
      <sz val="8"/>
      <name val="Arial"/>
      <family val="2"/>
      <charset val="1"/>
    </font>
    <font>
      <sz val="8"/>
      <name val="Arial"/>
      <family val="2"/>
      <charset val="1"/>
    </font>
    <font>
      <vertAlign val="superscript"/>
      <sz val="8"/>
      <color rgb="FF000000"/>
      <name val="Arial"/>
      <family val="2"/>
      <charset val="1"/>
    </font>
    <font>
      <i/>
      <sz val="8"/>
      <color rgb="FF000000"/>
      <name val="Arial"/>
      <family val="2"/>
      <charset val="1"/>
    </font>
    <font>
      <b/>
      <i/>
      <sz val="8"/>
      <color rgb="FF000000"/>
      <name val="Arial"/>
      <family val="2"/>
      <charset val="1"/>
    </font>
    <font>
      <sz val="8"/>
      <color rgb="FF7F7F7F"/>
      <name val="Arial"/>
      <family val="2"/>
      <charset val="1"/>
    </font>
    <font>
      <sz val="8"/>
      <color theme="1"/>
      <name val="Arial"/>
      <family val="2"/>
    </font>
    <font>
      <i/>
      <sz val="8"/>
      <color theme="1"/>
      <name val="Arial"/>
      <family val="2"/>
    </font>
    <font>
      <sz val="8"/>
      <color rgb="FF000000"/>
      <name val="Arial"/>
      <family val="2"/>
    </font>
    <font>
      <i/>
      <sz val="8"/>
      <color rgb="FF000000"/>
      <name val="Arial"/>
      <family val="2"/>
    </font>
    <font>
      <sz val="21"/>
      <color rgb="FF222222"/>
      <name val="Inherit"/>
    </font>
    <font>
      <b/>
      <vertAlign val="superscript"/>
      <sz val="8"/>
      <color rgb="FF000000"/>
      <name val="Arial"/>
      <family val="2"/>
    </font>
    <font>
      <vertAlign val="superscript"/>
      <sz val="8"/>
      <color rgb="FF000000"/>
      <name val="Arial"/>
      <family val="2"/>
    </font>
  </fonts>
  <fills count="13">
    <fill>
      <patternFill patternType="none"/>
    </fill>
    <fill>
      <patternFill patternType="gray125"/>
    </fill>
    <fill>
      <patternFill patternType="solid">
        <fgColor rgb="FFFFFFFF"/>
        <bgColor rgb="FFFFFFCC"/>
      </patternFill>
    </fill>
    <fill>
      <patternFill patternType="solid">
        <fgColor rgb="FFFFE699"/>
        <bgColor rgb="FFF8CBAD"/>
      </patternFill>
    </fill>
    <fill>
      <patternFill patternType="solid">
        <fgColor rgb="FFF8CBAD"/>
        <bgColor rgb="FFFFE699"/>
      </patternFill>
    </fill>
    <fill>
      <patternFill patternType="solid">
        <fgColor theme="0"/>
        <bgColor indexed="64"/>
      </patternFill>
    </fill>
    <fill>
      <patternFill patternType="solid">
        <fgColor theme="0"/>
        <bgColor rgb="FFFFFFCC"/>
      </patternFill>
    </fill>
    <fill>
      <patternFill patternType="solid">
        <fgColor theme="0"/>
        <bgColor rgb="FFFFFF00"/>
      </patternFill>
    </fill>
    <fill>
      <patternFill patternType="solid">
        <fgColor theme="7" tint="0.59999389629810485"/>
        <bgColor rgb="FFFFFFCC"/>
      </patternFill>
    </fill>
    <fill>
      <patternFill patternType="solid">
        <fgColor theme="5" tint="0.59999389629810485"/>
        <bgColor rgb="FFFFFFCC"/>
      </patternFill>
    </fill>
    <fill>
      <patternFill patternType="solid">
        <fgColor theme="0"/>
        <bgColor rgb="FFFFE699"/>
      </patternFill>
    </fill>
    <fill>
      <patternFill patternType="solid">
        <fgColor theme="7" tint="0.59999389629810485"/>
        <bgColor indexed="64"/>
      </patternFill>
    </fill>
    <fill>
      <patternFill patternType="solid">
        <fgColor theme="5" tint="0.59999389629810485"/>
        <bgColor indexed="64"/>
      </patternFill>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149">
    <xf numFmtId="0" fontId="0" fillId="0" borderId="0" xfId="0"/>
    <xf numFmtId="0" fontId="1" fillId="2" borderId="0" xfId="0" applyFont="1" applyFill="1"/>
    <xf numFmtId="0" fontId="2" fillId="2" borderId="0" xfId="0" applyFont="1" applyFill="1"/>
    <xf numFmtId="0" fontId="3" fillId="2" borderId="0" xfId="0" applyFont="1" applyFill="1" applyAlignment="1">
      <alignment vertical="center"/>
    </xf>
    <xf numFmtId="0" fontId="4" fillId="2" borderId="0" xfId="0" applyFont="1" applyFill="1" applyAlignment="1">
      <alignment horizontal="center" vertical="center" wrapText="1"/>
    </xf>
    <xf numFmtId="0" fontId="1" fillId="0" borderId="0" xfId="0" applyFont="1" applyBorder="1" applyAlignment="1">
      <alignment vertical="center"/>
    </xf>
    <xf numFmtId="0" fontId="2" fillId="0" borderId="0" xfId="0" applyFont="1" applyBorder="1"/>
    <xf numFmtId="0" fontId="1" fillId="0" borderId="0" xfId="0" applyFont="1" applyBorder="1"/>
    <xf numFmtId="0" fontId="2" fillId="0" borderId="0" xfId="0" applyFont="1" applyBorder="1" applyAlignment="1">
      <alignment vertical="center"/>
    </xf>
    <xf numFmtId="0" fontId="1" fillId="0" borderId="0" xfId="0" applyFont="1"/>
    <xf numFmtId="0" fontId="1" fillId="0" borderId="0" xfId="0" applyFont="1" applyAlignment="1">
      <alignment horizont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164" fontId="3" fillId="2" borderId="0" xfId="0" applyNumberFormat="1" applyFont="1" applyFill="1" applyBorder="1"/>
    <xf numFmtId="165" fontId="2" fillId="2" borderId="0" xfId="0" applyNumberFormat="1" applyFont="1" applyFill="1" applyBorder="1"/>
    <xf numFmtId="164" fontId="3" fillId="3" borderId="0" xfId="0" applyNumberFormat="1" applyFont="1" applyFill="1" applyBorder="1"/>
    <xf numFmtId="165" fontId="2" fillId="3" borderId="0" xfId="0" applyNumberFormat="1" applyFont="1" applyFill="1" applyBorder="1"/>
    <xf numFmtId="165" fontId="2" fillId="0" borderId="0" xfId="0" applyNumberFormat="1" applyFont="1" applyBorder="1" applyAlignment="1">
      <alignment horizontal="center" vertical="center"/>
    </xf>
    <xf numFmtId="0" fontId="1" fillId="0" borderId="0" xfId="0" applyFont="1" applyAlignment="1">
      <alignment horizontal="left" indent="1"/>
    </xf>
    <xf numFmtId="164" fontId="4" fillId="2" borderId="0" xfId="0" applyNumberFormat="1" applyFont="1" applyFill="1" applyBorder="1"/>
    <xf numFmtId="0" fontId="1" fillId="0" borderId="0" xfId="0" applyFont="1" applyAlignment="1">
      <alignment horizontal="center" vertical="center"/>
    </xf>
    <xf numFmtId="164" fontId="4" fillId="3" borderId="0" xfId="0" applyNumberFormat="1" applyFont="1" applyFill="1" applyBorder="1"/>
    <xf numFmtId="165" fontId="1" fillId="3" borderId="0" xfId="0" applyNumberFormat="1" applyFont="1" applyFill="1" applyBorder="1"/>
    <xf numFmtId="164" fontId="4" fillId="4" borderId="0" xfId="0" applyNumberFormat="1" applyFont="1" applyFill="1" applyAlignment="1">
      <alignment horizontal="right"/>
    </xf>
    <xf numFmtId="165" fontId="1" fillId="4" borderId="0" xfId="0" applyNumberFormat="1" applyFont="1" applyFill="1" applyAlignment="1">
      <alignment horizontal="right"/>
    </xf>
    <xf numFmtId="165" fontId="1" fillId="0" borderId="0" xfId="0" applyNumberFormat="1" applyFont="1" applyBorder="1" applyAlignment="1">
      <alignment horizontal="center" vertical="center"/>
    </xf>
    <xf numFmtId="165" fontId="1" fillId="4" borderId="0" xfId="0" applyNumberFormat="1" applyFont="1" applyFill="1"/>
    <xf numFmtId="0" fontId="1" fillId="0" borderId="0" xfId="0" applyFont="1" applyBorder="1" applyAlignment="1">
      <alignment horizontal="left" vertical="center"/>
    </xf>
    <xf numFmtId="0" fontId="1" fillId="2" borderId="0" xfId="0" applyFont="1" applyFill="1" applyAlignment="1">
      <alignment horizontal="center" vertical="center"/>
    </xf>
    <xf numFmtId="165" fontId="1" fillId="2" borderId="0"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165" fontId="1" fillId="2" borderId="0" xfId="0" applyNumberFormat="1" applyFont="1" applyFill="1" applyBorder="1"/>
    <xf numFmtId="0" fontId="1" fillId="0" borderId="0" xfId="0" applyFont="1" applyBorder="1" applyAlignment="1">
      <alignment horizontal="center" vertical="center"/>
    </xf>
    <xf numFmtId="164" fontId="4" fillId="4" borderId="0" xfId="0" applyNumberFormat="1" applyFont="1" applyFill="1" applyBorder="1" applyAlignment="1">
      <alignment horizontal="right"/>
    </xf>
    <xf numFmtId="165" fontId="1" fillId="4" borderId="0" xfId="0" applyNumberFormat="1" applyFont="1" applyFill="1" applyBorder="1"/>
    <xf numFmtId="0" fontId="1" fillId="0" borderId="3" xfId="0" applyFont="1" applyBorder="1" applyAlignment="1">
      <alignment horizontal="left" indent="1"/>
    </xf>
    <xf numFmtId="164" fontId="4" fillId="2" borderId="3" xfId="0" applyNumberFormat="1" applyFont="1" applyFill="1" applyBorder="1"/>
    <xf numFmtId="0" fontId="1" fillId="0" borderId="3" xfId="0" applyFont="1" applyBorder="1" applyAlignment="1">
      <alignment horizontal="center" vertical="center"/>
    </xf>
    <xf numFmtId="165" fontId="1" fillId="2" borderId="3" xfId="0" applyNumberFormat="1" applyFont="1" applyFill="1" applyBorder="1"/>
    <xf numFmtId="164" fontId="4" fillId="3" borderId="3" xfId="0" applyNumberFormat="1" applyFont="1" applyFill="1" applyBorder="1"/>
    <xf numFmtId="165" fontId="1" fillId="3" borderId="3" xfId="0" applyNumberFormat="1" applyFont="1" applyFill="1" applyBorder="1"/>
    <xf numFmtId="164" fontId="4" fillId="4" borderId="3" xfId="0" applyNumberFormat="1" applyFont="1" applyFill="1" applyBorder="1" applyAlignment="1">
      <alignment horizontal="right"/>
    </xf>
    <xf numFmtId="165" fontId="1" fillId="4" borderId="3" xfId="0" applyNumberFormat="1" applyFont="1" applyFill="1" applyBorder="1"/>
    <xf numFmtId="0" fontId="1" fillId="2" borderId="0" xfId="0" applyFont="1" applyFill="1" applyAlignment="1">
      <alignment horizontal="left"/>
    </xf>
    <xf numFmtId="0" fontId="1" fillId="2" borderId="0" xfId="0" applyFont="1" applyFill="1" applyAlignment="1">
      <alignment horizontal="left" vertical="center" indent="8"/>
    </xf>
    <xf numFmtId="0" fontId="1" fillId="2" borderId="0" xfId="0" applyFont="1" applyFill="1" applyAlignment="1">
      <alignment horizontal="left" vertical="center" indent="1"/>
    </xf>
    <xf numFmtId="0" fontId="2" fillId="2" borderId="0" xfId="0" applyFont="1" applyFill="1" applyBorder="1"/>
    <xf numFmtId="0" fontId="1" fillId="2" borderId="0" xfId="0" applyFont="1" applyFill="1" applyBorder="1"/>
    <xf numFmtId="0" fontId="1" fillId="2" borderId="0" xfId="0" applyFont="1" applyFill="1" applyBorder="1" applyAlignment="1">
      <alignment horizontal="left" indent="1"/>
    </xf>
    <xf numFmtId="0" fontId="7" fillId="2" borderId="0" xfId="0" applyFont="1" applyFill="1" applyBorder="1" applyAlignment="1">
      <alignment horizontal="center" vertical="center"/>
    </xf>
    <xf numFmtId="0" fontId="1" fillId="2" borderId="3" xfId="0" applyFont="1" applyFill="1" applyBorder="1" applyAlignment="1">
      <alignment horizontal="left" vertical="center" indent="1"/>
    </xf>
    <xf numFmtId="0" fontId="7" fillId="2" borderId="3" xfId="0" applyFont="1" applyFill="1" applyBorder="1" applyAlignment="1">
      <alignment horizontal="center" vertical="center"/>
    </xf>
    <xf numFmtId="0" fontId="1" fillId="2" borderId="3" xfId="0" applyFont="1" applyFill="1" applyBorder="1"/>
    <xf numFmtId="164" fontId="4" fillId="4" borderId="3" xfId="0" applyNumberFormat="1" applyFont="1" applyFill="1" applyBorder="1"/>
    <xf numFmtId="0" fontId="2" fillId="2" borderId="0" xfId="0" applyFont="1" applyFill="1" applyBorder="1" applyAlignment="1">
      <alignment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164" fontId="3" fillId="3" borderId="0" xfId="0" applyNumberFormat="1" applyFont="1" applyFill="1"/>
    <xf numFmtId="165" fontId="2" fillId="3" borderId="0" xfId="0" applyNumberFormat="1" applyFont="1" applyFill="1"/>
    <xf numFmtId="165" fontId="2" fillId="2" borderId="0" xfId="0" applyNumberFormat="1" applyFont="1" applyFill="1" applyBorder="1" applyAlignment="1">
      <alignment horizontal="center" vertical="center"/>
    </xf>
    <xf numFmtId="164" fontId="3" fillId="4" borderId="0" xfId="0" applyNumberFormat="1" applyFont="1" applyFill="1"/>
    <xf numFmtId="165" fontId="2" fillId="4" borderId="0" xfId="0" applyNumberFormat="1" applyFont="1" applyFill="1"/>
    <xf numFmtId="0" fontId="1" fillId="2" borderId="0" xfId="0" applyFont="1" applyFill="1" applyAlignment="1">
      <alignment horizontal="left" indent="1"/>
    </xf>
    <xf numFmtId="164" fontId="4" fillId="3" borderId="0" xfId="0" applyNumberFormat="1" applyFont="1" applyFill="1"/>
    <xf numFmtId="165" fontId="1" fillId="3" borderId="0" xfId="0" applyNumberFormat="1" applyFont="1" applyFill="1"/>
    <xf numFmtId="164" fontId="4" fillId="2" borderId="0" xfId="0" applyNumberFormat="1" applyFont="1" applyFill="1" applyAlignment="1">
      <alignment horizontal="right"/>
    </xf>
    <xf numFmtId="165" fontId="1" fillId="2" borderId="0" xfId="0" applyNumberFormat="1" applyFont="1" applyFill="1" applyAlignment="1">
      <alignment horizontal="right"/>
    </xf>
    <xf numFmtId="0" fontId="1" fillId="2" borderId="3" xfId="0" applyFont="1" applyFill="1" applyBorder="1" applyAlignment="1">
      <alignment horizontal="left" indent="1"/>
    </xf>
    <xf numFmtId="0" fontId="1" fillId="2" borderId="3" xfId="0" applyFont="1" applyFill="1" applyBorder="1" applyAlignment="1">
      <alignment horizontal="center" vertical="center"/>
    </xf>
    <xf numFmtId="165" fontId="1" fillId="2" borderId="3" xfId="0" applyNumberFormat="1" applyFont="1" applyFill="1" applyBorder="1" applyAlignment="1">
      <alignment horizontal="center" vertical="center"/>
    </xf>
    <xf numFmtId="165" fontId="1" fillId="4" borderId="3" xfId="0" applyNumberFormat="1" applyFont="1" applyFill="1" applyBorder="1" applyAlignment="1">
      <alignment horizontal="right"/>
    </xf>
    <xf numFmtId="0" fontId="5" fillId="2" borderId="0" xfId="0" applyFont="1" applyFill="1" applyBorder="1" applyAlignment="1">
      <alignment vertical="center"/>
    </xf>
    <xf numFmtId="0" fontId="1" fillId="0" borderId="3" xfId="0" applyFont="1" applyBorder="1" applyAlignment="1">
      <alignment vertical="center"/>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wrapText="1"/>
    </xf>
    <xf numFmtId="0" fontId="2" fillId="2" borderId="0" xfId="0" applyFont="1" applyFill="1" applyBorder="1" applyAlignment="1">
      <alignment horizontal="left" vertical="center"/>
    </xf>
    <xf numFmtId="164" fontId="3" fillId="4" borderId="0" xfId="0" applyNumberFormat="1" applyFont="1" applyFill="1" applyAlignment="1">
      <alignment horizontal="right"/>
    </xf>
    <xf numFmtId="165" fontId="2" fillId="4" borderId="0" xfId="0" applyNumberFormat="1" applyFont="1" applyFill="1" applyAlignment="1">
      <alignment horizontal="right"/>
    </xf>
    <xf numFmtId="164" fontId="3" fillId="2" borderId="0" xfId="0" applyNumberFormat="1" applyFont="1" applyFill="1"/>
    <xf numFmtId="165" fontId="2" fillId="2" borderId="0" xfId="0" applyNumberFormat="1" applyFont="1" applyFill="1"/>
    <xf numFmtId="164" fontId="4" fillId="4" borderId="0" xfId="0" applyNumberFormat="1" applyFont="1" applyFill="1"/>
    <xf numFmtId="164" fontId="4" fillId="4" borderId="0" xfId="0" applyNumberFormat="1" applyFont="1" applyFill="1" applyBorder="1"/>
    <xf numFmtId="0" fontId="1" fillId="2" borderId="0" xfId="0" applyFont="1" applyFill="1" applyBorder="1" applyAlignment="1">
      <alignment horizontal="center" vertical="center"/>
    </xf>
    <xf numFmtId="165" fontId="1" fillId="4" borderId="0" xfId="0" applyNumberFormat="1" applyFont="1" applyFill="1" applyBorder="1" applyAlignment="1">
      <alignment horizontal="right"/>
    </xf>
    <xf numFmtId="0" fontId="1" fillId="2" borderId="3" xfId="0" applyFont="1" applyFill="1" applyBorder="1" applyAlignment="1">
      <alignment vertical="center"/>
    </xf>
    <xf numFmtId="0" fontId="2" fillId="0" borderId="0" xfId="0" applyFont="1" applyBorder="1" applyAlignment="1">
      <alignment horizontal="center" vertical="center"/>
    </xf>
    <xf numFmtId="164" fontId="4" fillId="2" borderId="0" xfId="0" applyNumberFormat="1" applyFont="1" applyFill="1"/>
    <xf numFmtId="165" fontId="1" fillId="2" borderId="0" xfId="0" applyNumberFormat="1" applyFont="1" applyFill="1"/>
    <xf numFmtId="0" fontId="1" fillId="0" borderId="0" xfId="0" applyFont="1" applyBorder="1" applyAlignment="1">
      <alignment horizontal="left" vertical="center" indent="1"/>
    </xf>
    <xf numFmtId="0" fontId="8" fillId="0" borderId="0" xfId="0" applyFont="1" applyBorder="1" applyAlignment="1">
      <alignment horizontal="center" vertical="center"/>
    </xf>
    <xf numFmtId="165" fontId="2" fillId="5" borderId="0" xfId="0" applyNumberFormat="1" applyFont="1" applyFill="1" applyBorder="1" applyAlignment="1">
      <alignment horizontal="center" vertical="center"/>
    </xf>
    <xf numFmtId="165" fontId="1" fillId="5" borderId="0" xfId="0" applyNumberFormat="1" applyFont="1" applyFill="1" applyBorder="1" applyAlignment="1">
      <alignment horizontal="center" vertical="center"/>
    </xf>
    <xf numFmtId="165" fontId="1" fillId="6" borderId="0" xfId="0" applyNumberFormat="1" applyFont="1" applyFill="1" applyBorder="1" applyAlignment="1">
      <alignment horizontal="center" vertical="center"/>
    </xf>
    <xf numFmtId="165" fontId="1" fillId="5" borderId="3" xfId="0" applyNumberFormat="1" applyFont="1" applyFill="1" applyBorder="1" applyAlignment="1">
      <alignment horizontal="center" vertical="center"/>
    </xf>
    <xf numFmtId="164" fontId="4" fillId="7" borderId="0" xfId="0" applyNumberFormat="1" applyFont="1" applyFill="1" applyBorder="1" applyAlignment="1">
      <alignment horizontal="right"/>
    </xf>
    <xf numFmtId="0" fontId="1" fillId="7" borderId="0" xfId="0" applyFont="1" applyFill="1" applyAlignment="1">
      <alignment horizontal="left" indent="1"/>
    </xf>
    <xf numFmtId="0" fontId="2" fillId="5" borderId="0" xfId="0" applyFont="1" applyFill="1" applyBorder="1" applyAlignment="1">
      <alignment horizontal="center" vertical="center"/>
    </xf>
    <xf numFmtId="0" fontId="1" fillId="5" borderId="0" xfId="0" applyFont="1" applyFill="1" applyAlignment="1">
      <alignment horizontal="center" vertical="center"/>
    </xf>
    <xf numFmtId="0" fontId="1" fillId="6" borderId="0" xfId="0" applyFont="1" applyFill="1" applyAlignment="1">
      <alignment horizontal="center" vertical="center"/>
    </xf>
    <xf numFmtId="0" fontId="1" fillId="5" borderId="0" xfId="0" applyFont="1" applyFill="1" applyBorder="1" applyAlignment="1">
      <alignment horizontal="center" vertical="center"/>
    </xf>
    <xf numFmtId="0" fontId="1" fillId="5" borderId="3" xfId="0" applyFont="1" applyFill="1" applyBorder="1" applyAlignment="1">
      <alignment horizontal="center" vertical="center"/>
    </xf>
    <xf numFmtId="164" fontId="3" fillId="7" borderId="0" xfId="0" applyNumberFormat="1" applyFont="1" applyFill="1" applyBorder="1"/>
    <xf numFmtId="164" fontId="4" fillId="7" borderId="0" xfId="0" applyNumberFormat="1" applyFont="1" applyFill="1" applyBorder="1"/>
    <xf numFmtId="164" fontId="4" fillId="7" borderId="3" xfId="0" applyNumberFormat="1" applyFont="1" applyFill="1" applyBorder="1"/>
    <xf numFmtId="0" fontId="4" fillId="2" borderId="0" xfId="0" applyFont="1" applyFill="1" applyAlignment="1">
      <alignment horizontal="left" vertical="center"/>
    </xf>
    <xf numFmtId="164" fontId="4" fillId="10" borderId="0" xfId="0" applyNumberFormat="1" applyFont="1" applyFill="1" applyAlignment="1">
      <alignment horizontal="right"/>
    </xf>
    <xf numFmtId="165" fontId="1" fillId="10" borderId="0" xfId="0" applyNumberFormat="1" applyFont="1" applyFill="1" applyAlignment="1">
      <alignment horizontal="right"/>
    </xf>
    <xf numFmtId="0" fontId="9" fillId="5" borderId="0" xfId="0" applyFont="1" applyFill="1" applyAlignment="1">
      <alignment horizontal="left"/>
    </xf>
    <xf numFmtId="0" fontId="9" fillId="5" borderId="0" xfId="0" applyFont="1" applyFill="1" applyAlignment="1"/>
    <xf numFmtId="0" fontId="0" fillId="5" borderId="0" xfId="0" applyFill="1"/>
    <xf numFmtId="0" fontId="9" fillId="5" borderId="0" xfId="0" applyFont="1" applyFill="1"/>
    <xf numFmtId="0" fontId="11" fillId="5" borderId="0" xfId="0" applyFont="1" applyFill="1" applyAlignment="1">
      <alignment horizontal="left" vertical="center" indent="6"/>
    </xf>
    <xf numFmtId="0" fontId="13" fillId="5" borderId="0" xfId="0" applyFont="1" applyFill="1" applyAlignment="1">
      <alignment horizontal="left" vertical="center"/>
    </xf>
    <xf numFmtId="0" fontId="11" fillId="6" borderId="0" xfId="0" applyFont="1" applyFill="1"/>
    <xf numFmtId="0" fontId="11" fillId="11" borderId="0" xfId="0" applyFont="1" applyFill="1" applyAlignment="1">
      <alignment horizontal="left" vertical="center" indent="6"/>
    </xf>
    <xf numFmtId="0" fontId="13" fillId="11" borderId="0" xfId="0" applyFont="1" applyFill="1" applyAlignment="1">
      <alignment horizontal="left" vertical="center"/>
    </xf>
    <xf numFmtId="0" fontId="11" fillId="8" borderId="0" xfId="0" applyFont="1" applyFill="1"/>
    <xf numFmtId="0" fontId="9" fillId="11" borderId="0" xfId="0" applyFont="1" applyFill="1"/>
    <xf numFmtId="0" fontId="11" fillId="12" borderId="0" xfId="0" applyFont="1" applyFill="1" applyAlignment="1">
      <alignment horizontal="left" vertical="center" indent="6"/>
    </xf>
    <xf numFmtId="0" fontId="13" fillId="12" borderId="0" xfId="0" applyFont="1" applyFill="1" applyAlignment="1">
      <alignment horizontal="left" vertical="center"/>
    </xf>
    <xf numFmtId="0" fontId="11" fillId="9" borderId="0" xfId="0" applyFont="1" applyFill="1"/>
    <xf numFmtId="0" fontId="9" fillId="12" borderId="0" xfId="0" applyFont="1" applyFill="1"/>
    <xf numFmtId="0" fontId="11" fillId="2" borderId="0" xfId="0" applyFont="1" applyFill="1" applyBorder="1" applyAlignment="1">
      <alignment horizontal="left" vertical="center" indent="1"/>
    </xf>
    <xf numFmtId="0" fontId="11" fillId="2" borderId="0" xfId="0" applyFont="1" applyFill="1"/>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wrapText="1"/>
    </xf>
    <xf numFmtId="0" fontId="2" fillId="0" borderId="3" xfId="0" applyFont="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8CBAD"/>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7"/>
  <sheetViews>
    <sheetView tabSelected="1" zoomScaleNormal="100" workbookViewId="0"/>
  </sheetViews>
  <sheetFormatPr baseColWidth="10" defaultColWidth="9.140625" defaultRowHeight="15"/>
  <cols>
    <col min="1" max="1025" width="10.5703125" style="1" customWidth="1"/>
  </cols>
  <sheetData>
    <row r="1" spans="1:2">
      <c r="A1" s="2" t="s">
        <v>0</v>
      </c>
    </row>
    <row r="3" spans="1:2">
      <c r="A3" s="3" t="s">
        <v>65</v>
      </c>
    </row>
    <row r="4" spans="1:2">
      <c r="A4" s="4"/>
    </row>
    <row r="5" spans="1:2">
      <c r="A5" s="4">
        <v>3.1</v>
      </c>
      <c r="B5" s="115" t="s">
        <v>66</v>
      </c>
    </row>
    <row r="6" spans="1:2">
      <c r="A6" s="4"/>
      <c r="B6" s="115"/>
    </row>
    <row r="7" spans="1:2">
      <c r="A7" s="4">
        <v>3.2</v>
      </c>
      <c r="B7" s="115" t="s">
        <v>67</v>
      </c>
    </row>
    <row r="8" spans="1:2">
      <c r="A8" s="4"/>
      <c r="B8" s="115"/>
    </row>
    <row r="9" spans="1:2">
      <c r="A9" s="4">
        <v>3.3</v>
      </c>
      <c r="B9" s="115" t="s">
        <v>68</v>
      </c>
    </row>
    <row r="10" spans="1:2">
      <c r="A10" s="4"/>
      <c r="B10" s="115"/>
    </row>
    <row r="11" spans="1:2">
      <c r="A11" s="4">
        <v>3.4</v>
      </c>
      <c r="B11" s="115" t="s">
        <v>69</v>
      </c>
    </row>
    <row r="12" spans="1:2">
      <c r="A12" s="4"/>
      <c r="B12" s="115"/>
    </row>
    <row r="13" spans="1:2">
      <c r="A13" s="4">
        <v>3.5</v>
      </c>
      <c r="B13" s="115" t="s">
        <v>70</v>
      </c>
    </row>
    <row r="14" spans="1:2">
      <c r="A14" s="4"/>
      <c r="B14" s="115"/>
    </row>
    <row r="15" spans="1:2">
      <c r="A15" s="4">
        <v>3.6</v>
      </c>
      <c r="B15" s="115" t="s">
        <v>71</v>
      </c>
    </row>
    <row r="16" spans="1:2">
      <c r="A16" s="4"/>
      <c r="B16" s="115"/>
    </row>
    <row r="17" spans="1:2">
      <c r="A17" s="4">
        <v>3.7</v>
      </c>
      <c r="B17" s="115" t="s">
        <v>72</v>
      </c>
    </row>
  </sheetData>
  <hyperlinks>
    <hyperlink ref="B5" location="'3.1'!A1" display="Crimes where the victim was present, by geographic area, by number of offenders that the victim could identify, September 2018 to August 2019" xr:uid="{D9F83116-2887-4276-B467-41D898CD1FBE}"/>
    <hyperlink ref="B7" location="'3.2'!A1" display="Crimes where the victim could identify the offender(s), by type of crime, by the number of offenders, September 2018 to August 2019" xr:uid="{33356632-D49C-4350-8E82-1A3FEDF3B73C}"/>
    <hyperlink ref="B9" location="'3.3'!A1" display="Crimes where the victim was present, by type of crime, by sex of the offender(s), September 2018 to August 2019" xr:uid="{3AD67263-5EFC-439B-9007-FA91A30286C5}"/>
    <hyperlink ref="B11" location="'3.4'!A1" display="Crimes where the victim was present by type of crime, by relationship with the offender, September 2018 to August 2019" xr:uid="{80A504A5-3D28-479E-B3F2-5643F1AE4B89}"/>
    <hyperlink ref="B13" location="'3.5'!A1" display="Crimes where the victim was present, by type of crime, by the condition of the offender being under the effect of alcohol or other drugs, September 2018 to August 2019" xr:uid="{6AAF134E-C933-4942-9FF1-6CC5A54A5CAB}"/>
    <hyperlink ref="B15" location="'3.7'!A1" display="Crimes where the victim was present, by geographical area, by the condition of use of a weapon or any object threatened to use as a weapon by the offender(s), September 2018 to August 2019" xr:uid="{A88CD36E-5626-4EC0-AF7A-58128EF38303}"/>
    <hyperlink ref="B17" location="'3.8'!A1" display="Crimes where the victim was present and could identify that the offender carried a weapon, by type of crime, by type of weapon, September 2018 to August 2019" xr:uid="{672DCED5-DE76-4CF4-8C1B-4E35E5426FE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1"/>
  <sheetViews>
    <sheetView showGridLines="0" zoomScaleNormal="100" workbookViewId="0"/>
  </sheetViews>
  <sheetFormatPr baseColWidth="10" defaultColWidth="9.140625" defaultRowHeight="15"/>
  <cols>
    <col min="1" max="1" width="29" style="5" customWidth="1"/>
    <col min="2" max="2" width="16" style="5" customWidth="1"/>
    <col min="3" max="3" width="1.7109375" style="5" customWidth="1"/>
    <col min="4" max="5" width="9.28515625" style="5" customWidth="1"/>
    <col min="6" max="6" width="2" style="5" customWidth="1"/>
    <col min="7" max="7" width="12.28515625" style="5" customWidth="1"/>
    <col min="8" max="8" width="10.5703125" style="5" customWidth="1"/>
    <col min="9" max="9" width="2.28515625" style="5" customWidth="1"/>
    <col min="10" max="10" width="8.42578125" style="5" customWidth="1"/>
    <col min="11" max="11" width="10.5703125" style="5" customWidth="1"/>
    <col min="12" max="12" width="1.7109375" style="5" customWidth="1"/>
    <col min="13" max="13" width="8.42578125" style="5" customWidth="1"/>
    <col min="14" max="14" width="10.5703125" style="5" customWidth="1"/>
    <col min="15" max="1025" width="11.28515625" style="5" customWidth="1"/>
  </cols>
  <sheetData>
    <row r="1" spans="1:17" s="7" customFormat="1" ht="11.25">
      <c r="A1" s="6" t="s">
        <v>0</v>
      </c>
      <c r="B1" s="6"/>
      <c r="C1" s="6"/>
      <c r="D1" s="6"/>
      <c r="F1" s="6"/>
      <c r="G1" s="6"/>
      <c r="H1" s="6" t="s">
        <v>1</v>
      </c>
      <c r="I1" s="6"/>
      <c r="J1" s="6"/>
      <c r="M1" s="6"/>
    </row>
    <row r="2" spans="1:17" s="7" customFormat="1" ht="11.25">
      <c r="A2" s="6"/>
      <c r="B2" s="6"/>
      <c r="C2" s="6"/>
      <c r="D2" s="6"/>
      <c r="F2" s="6"/>
      <c r="G2" s="6"/>
      <c r="H2" s="6"/>
      <c r="I2" s="6"/>
      <c r="J2" s="6"/>
      <c r="M2" s="6"/>
    </row>
    <row r="3" spans="1:17" ht="14.25" customHeight="1">
      <c r="A3" s="8" t="s">
        <v>49</v>
      </c>
      <c r="B3" s="8"/>
      <c r="C3" s="8"/>
      <c r="D3" s="8"/>
      <c r="F3" s="8"/>
      <c r="G3" s="8"/>
      <c r="H3" s="8"/>
      <c r="I3" s="8"/>
      <c r="J3" s="8"/>
      <c r="N3" s="9" t="s">
        <v>2</v>
      </c>
      <c r="O3" s="10" t="s">
        <v>3</v>
      </c>
    </row>
    <row r="4" spans="1:17" ht="14.25" customHeight="1">
      <c r="A4" s="8" t="s">
        <v>73</v>
      </c>
      <c r="B4" s="8"/>
      <c r="C4" s="8"/>
      <c r="D4" s="8"/>
      <c r="F4" s="8"/>
      <c r="G4" s="8"/>
      <c r="H4" s="8"/>
      <c r="I4" s="8"/>
      <c r="J4" s="8"/>
      <c r="N4" s="9"/>
      <c r="O4" s="10"/>
    </row>
    <row r="5" spans="1:17" ht="14.25" customHeight="1">
      <c r="A5" s="8" t="s">
        <v>4</v>
      </c>
      <c r="B5" s="8"/>
      <c r="C5" s="8"/>
      <c r="D5" s="8"/>
      <c r="F5" s="8"/>
      <c r="G5" s="8"/>
      <c r="H5" s="8"/>
      <c r="I5" s="8"/>
      <c r="J5" s="8"/>
      <c r="N5" s="9"/>
      <c r="O5" s="10"/>
    </row>
    <row r="6" spans="1:17">
      <c r="C6" s="8"/>
      <c r="D6" s="8"/>
      <c r="F6" s="8"/>
      <c r="G6" s="8"/>
      <c r="H6" s="8"/>
      <c r="I6" s="8"/>
      <c r="J6" s="8"/>
      <c r="M6" s="8"/>
    </row>
    <row r="7" spans="1:17" ht="15.75" customHeight="1">
      <c r="A7" s="135" t="s">
        <v>19</v>
      </c>
      <c r="B7" s="136" t="s">
        <v>6</v>
      </c>
      <c r="C7" s="11"/>
      <c r="D7" s="137" t="s">
        <v>74</v>
      </c>
      <c r="E7" s="137"/>
      <c r="F7" s="137"/>
      <c r="G7" s="137"/>
      <c r="H7" s="137"/>
      <c r="I7" s="137"/>
      <c r="J7" s="137"/>
      <c r="K7" s="137"/>
      <c r="L7" s="137"/>
      <c r="M7" s="137"/>
      <c r="N7" s="137"/>
    </row>
    <row r="8" spans="1:17" ht="12" customHeight="1">
      <c r="A8" s="135"/>
      <c r="B8" s="136"/>
      <c r="C8" s="12"/>
      <c r="D8" s="137" t="s">
        <v>7</v>
      </c>
      <c r="E8" s="137"/>
      <c r="F8" s="12"/>
      <c r="G8" s="137" t="s">
        <v>8</v>
      </c>
      <c r="H8" s="137"/>
      <c r="I8" s="12"/>
      <c r="J8" s="136" t="s">
        <v>9</v>
      </c>
      <c r="K8" s="136"/>
      <c r="L8" s="12"/>
      <c r="M8" s="137" t="s">
        <v>10</v>
      </c>
      <c r="N8" s="137"/>
    </row>
    <row r="9" spans="1:17">
      <c r="A9" s="135"/>
      <c r="B9" s="136"/>
      <c r="C9" s="14"/>
      <c r="D9" s="13" t="s">
        <v>11</v>
      </c>
      <c r="E9" s="13" t="s">
        <v>12</v>
      </c>
      <c r="F9" s="14"/>
      <c r="G9" s="13" t="s">
        <v>11</v>
      </c>
      <c r="H9" s="13" t="s">
        <v>12</v>
      </c>
      <c r="I9" s="14"/>
      <c r="J9" s="13" t="s">
        <v>11</v>
      </c>
      <c r="K9" s="13" t="s">
        <v>12</v>
      </c>
      <c r="L9" s="13"/>
      <c r="M9" s="13" t="s">
        <v>11</v>
      </c>
      <c r="N9" s="13" t="s">
        <v>12</v>
      </c>
    </row>
    <row r="10" spans="1:17">
      <c r="A10" s="15"/>
      <c r="B10" s="16"/>
      <c r="C10" s="12"/>
      <c r="D10" s="15"/>
      <c r="E10" s="15"/>
      <c r="F10" s="12"/>
      <c r="G10" s="15"/>
      <c r="H10" s="15"/>
      <c r="I10" s="12"/>
      <c r="J10" s="15"/>
      <c r="K10" s="15"/>
      <c r="L10" s="15"/>
      <c r="M10" s="15"/>
      <c r="N10" s="15"/>
    </row>
    <row r="11" spans="1:17" s="1" customFormat="1" ht="11.25">
      <c r="A11" s="51" t="s">
        <v>20</v>
      </c>
      <c r="B11" s="112">
        <v>25432.216228869202</v>
      </c>
      <c r="C11" s="52"/>
      <c r="D11" s="17">
        <v>14871.7334882261</v>
      </c>
      <c r="E11" s="18">
        <f>0.584759635353544*100</f>
        <v>58.475963535354403</v>
      </c>
      <c r="F11" s="15"/>
      <c r="G11" s="19">
        <v>3939.8953611911802</v>
      </c>
      <c r="H11" s="20">
        <f>0.154917500139796*100</f>
        <v>15.491750013979599</v>
      </c>
      <c r="I11" s="15"/>
      <c r="J11" s="19">
        <v>1281.7572300111999</v>
      </c>
      <c r="K11" s="20">
        <f>0.0503989592757638*100</f>
        <v>5.0398959275763797</v>
      </c>
      <c r="L11" s="21"/>
      <c r="M11" s="19">
        <v>2118.8744557865102</v>
      </c>
      <c r="N11" s="20">
        <f>0.08331458165967*100</f>
        <v>8.3314581659669997</v>
      </c>
      <c r="O11" s="52"/>
      <c r="P11" s="15"/>
      <c r="Q11" s="15"/>
    </row>
    <row r="12" spans="1:17">
      <c r="A12" s="53" t="s">
        <v>21</v>
      </c>
      <c r="B12" s="113">
        <v>14784.8869331727</v>
      </c>
      <c r="C12" s="54"/>
      <c r="D12" s="23">
        <v>8650.9320411330209</v>
      </c>
      <c r="E12" s="36">
        <f>0.585119932281863*100</f>
        <v>58.511993228186299</v>
      </c>
      <c r="F12" s="54"/>
      <c r="G12" s="25">
        <v>2216.1068529263098</v>
      </c>
      <c r="H12" s="26">
        <f>0.149890010180196*100</f>
        <v>14.989001018019598</v>
      </c>
      <c r="I12" s="52"/>
      <c r="J12" s="25">
        <v>532.77393927990295</v>
      </c>
      <c r="K12" s="26">
        <f>0.0360350364320016*100</f>
        <v>3.6035036432001601</v>
      </c>
      <c r="L12" s="52"/>
      <c r="M12" s="25">
        <v>1217.35637172782</v>
      </c>
      <c r="N12" s="26">
        <f>0.0823378884958838*100</f>
        <v>8.2337888495883806</v>
      </c>
      <c r="O12" s="52"/>
      <c r="P12" s="52"/>
      <c r="Q12" s="52"/>
    </row>
    <row r="13" spans="1:17" s="52" customFormat="1" ht="11.25">
      <c r="A13" s="55" t="s">
        <v>22</v>
      </c>
      <c r="B13" s="114">
        <v>10647.3292956965</v>
      </c>
      <c r="C13" s="56"/>
      <c r="D13" s="41">
        <v>6220.8014470930402</v>
      </c>
      <c r="E13" s="43">
        <f>0.584259326853672*100</f>
        <v>58.425932685367201</v>
      </c>
      <c r="F13" s="56"/>
      <c r="G13" s="44">
        <v>1723.78850826487</v>
      </c>
      <c r="H13" s="45">
        <f>0.161898675282035*100</f>
        <v>16.1898675282035</v>
      </c>
      <c r="I13" s="57"/>
      <c r="J13" s="58">
        <v>748.98329073129798</v>
      </c>
      <c r="K13" s="47">
        <f>0.0703447099202636*100</f>
        <v>7.0344709920263604</v>
      </c>
      <c r="L13" s="57"/>
      <c r="M13" s="44">
        <v>901.51808405868701</v>
      </c>
      <c r="N13" s="45">
        <f>0.0846708182889643*100</f>
        <v>8.4670818288964309</v>
      </c>
    </row>
    <row r="14" spans="1:17" s="1" customFormat="1" ht="11.25"/>
    <row r="15" spans="1:17" s="120" customFormat="1" ht="15" customHeight="1">
      <c r="A15" s="118" t="s">
        <v>52</v>
      </c>
      <c r="B15" s="119"/>
      <c r="C15" s="119"/>
      <c r="D15" s="119"/>
      <c r="E15" s="119"/>
      <c r="F15" s="119"/>
      <c r="G15" s="119"/>
      <c r="H15" s="119"/>
      <c r="I15" s="119"/>
    </row>
    <row r="16" spans="1:17" s="120" customFormat="1" ht="15" customHeight="1">
      <c r="A16" s="121" t="s">
        <v>62</v>
      </c>
      <c r="B16" s="121"/>
      <c r="C16" s="121"/>
      <c r="D16" s="121"/>
      <c r="E16" s="121"/>
      <c r="F16" s="121"/>
      <c r="G16" s="121"/>
      <c r="H16" s="121"/>
      <c r="I16" s="121"/>
    </row>
    <row r="17" spans="1:9" s="120" customFormat="1" ht="15" customHeight="1">
      <c r="A17" s="121" t="s">
        <v>53</v>
      </c>
      <c r="B17" s="121"/>
      <c r="C17" s="121"/>
      <c r="D17" s="121"/>
      <c r="E17" s="121"/>
      <c r="F17" s="121"/>
      <c r="G17" s="121"/>
      <c r="H17" s="121"/>
      <c r="I17" s="121"/>
    </row>
    <row r="18" spans="1:9" s="120" customFormat="1" ht="15" customHeight="1">
      <c r="A18" s="121" t="s">
        <v>54</v>
      </c>
      <c r="B18" s="121"/>
      <c r="C18" s="121"/>
      <c r="D18" s="121"/>
      <c r="E18" s="121"/>
      <c r="F18" s="121"/>
      <c r="G18" s="121"/>
      <c r="H18" s="121"/>
      <c r="I18" s="121"/>
    </row>
    <row r="19" spans="1:9" s="120" customFormat="1" ht="15" customHeight="1">
      <c r="A19" s="122" t="s">
        <v>55</v>
      </c>
      <c r="B19" s="123"/>
      <c r="C19" s="124"/>
      <c r="D19" s="124"/>
      <c r="E19" s="121"/>
      <c r="F19" s="121"/>
      <c r="G19" s="121"/>
      <c r="H19" s="121"/>
      <c r="I19" s="121"/>
    </row>
    <row r="20" spans="1:9" s="120" customFormat="1" ht="15" customHeight="1">
      <c r="A20" s="125" t="s">
        <v>56</v>
      </c>
      <c r="B20" s="126"/>
      <c r="C20" s="127"/>
      <c r="D20" s="127"/>
      <c r="E20" s="128"/>
      <c r="F20" s="128"/>
      <c r="G20" s="128"/>
      <c r="H20" s="128"/>
      <c r="I20" s="121"/>
    </row>
    <row r="21" spans="1:9" s="120" customFormat="1" ht="15" customHeight="1">
      <c r="A21" s="129" t="s">
        <v>57</v>
      </c>
      <c r="B21" s="130"/>
      <c r="C21" s="131"/>
      <c r="D21" s="131"/>
      <c r="E21" s="132"/>
      <c r="F21" s="132"/>
      <c r="G21" s="132"/>
      <c r="H21" s="132"/>
      <c r="I21" s="121"/>
    </row>
    <row r="22" spans="1:9">
      <c r="A22" s="49"/>
      <c r="B22" s="50"/>
      <c r="C22" s="1"/>
      <c r="D22" s="1"/>
      <c r="E22" s="1"/>
      <c r="F22" s="1"/>
      <c r="G22" s="1"/>
      <c r="H22" s="1"/>
      <c r="I22" s="1"/>
    </row>
    <row r="23" spans="1:9">
      <c r="A23" s="1" t="s">
        <v>18</v>
      </c>
      <c r="B23" s="1"/>
      <c r="C23" s="1"/>
      <c r="D23" s="1"/>
      <c r="E23" s="1"/>
      <c r="F23" s="1"/>
      <c r="G23" s="1"/>
      <c r="H23" s="1"/>
      <c r="I23" s="1"/>
    </row>
    <row r="24" spans="1:9" s="1" customFormat="1" ht="11.25"/>
    <row r="25" spans="1:9" s="1" customFormat="1" ht="11.25"/>
    <row r="26" spans="1:9" s="1" customFormat="1" ht="11.25"/>
    <row r="27" spans="1:9" s="1" customFormat="1" ht="11.25"/>
    <row r="28" spans="1:9" s="1" customFormat="1" ht="11.25"/>
    <row r="29" spans="1:9" s="1" customFormat="1" ht="11.25"/>
    <row r="30" spans="1:9" s="1" customFormat="1" ht="11.25"/>
    <row r="31" spans="1:9" s="1" customFormat="1" ht="11.25"/>
  </sheetData>
  <mergeCells count="7">
    <mergeCell ref="A7:A9"/>
    <mergeCell ref="B7:B9"/>
    <mergeCell ref="D7:N7"/>
    <mergeCell ref="D8:E8"/>
    <mergeCell ref="G8:H8"/>
    <mergeCell ref="J8:K8"/>
    <mergeCell ref="M8:N8"/>
  </mergeCells>
  <hyperlinks>
    <hyperlink ref="O3" location="Index!A1" display="Index" xr:uid="{1DCC787F-E8DA-429B-86C9-C5166BE4C310}"/>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24"/>
  <sheetViews>
    <sheetView showGridLines="0" zoomScaleNormal="100" workbookViewId="0"/>
  </sheetViews>
  <sheetFormatPr baseColWidth="10" defaultColWidth="9.140625" defaultRowHeight="15"/>
  <cols>
    <col min="1" max="1" width="18.5703125" style="5" customWidth="1"/>
    <col min="2" max="2" width="16.85546875" style="5" customWidth="1"/>
    <col min="3" max="3" width="1.7109375" style="5" customWidth="1"/>
    <col min="4" max="5" width="9.28515625" style="5" customWidth="1"/>
    <col min="6" max="6" width="2" style="5" customWidth="1"/>
    <col min="7" max="7" width="12.28515625" style="5" customWidth="1"/>
    <col min="8" max="8" width="10.5703125" style="5" customWidth="1"/>
    <col min="9" max="9" width="2.28515625" style="5" customWidth="1"/>
    <col min="10" max="10" width="8.42578125" style="5" customWidth="1"/>
    <col min="11" max="11" width="10.5703125" style="5" customWidth="1"/>
    <col min="12" max="12" width="2.28515625" style="5" customWidth="1"/>
    <col min="13" max="13" width="8.42578125" style="5" customWidth="1"/>
    <col min="14" max="14" width="10.5703125" style="5" customWidth="1"/>
    <col min="15" max="1025" width="11.28515625" style="5" customWidth="1"/>
  </cols>
  <sheetData>
    <row r="1" spans="1:15" s="7" customFormat="1" ht="11.25">
      <c r="A1" s="6" t="s">
        <v>0</v>
      </c>
      <c r="B1" s="6"/>
      <c r="C1" s="6"/>
      <c r="D1" s="6"/>
      <c r="F1" s="6"/>
      <c r="G1" s="6"/>
      <c r="H1" s="6" t="s">
        <v>1</v>
      </c>
      <c r="I1" s="6"/>
      <c r="J1" s="6"/>
      <c r="M1" s="6"/>
    </row>
    <row r="2" spans="1:15" s="7" customFormat="1" ht="11.25">
      <c r="A2" s="6"/>
      <c r="B2" s="6"/>
      <c r="C2" s="6"/>
      <c r="D2" s="6"/>
      <c r="F2" s="6"/>
      <c r="G2" s="6"/>
      <c r="H2" s="6"/>
      <c r="I2" s="6"/>
      <c r="J2" s="6"/>
      <c r="M2" s="6"/>
    </row>
    <row r="3" spans="1:15" ht="14.25" customHeight="1">
      <c r="A3" s="8" t="s">
        <v>75</v>
      </c>
      <c r="B3" s="8"/>
      <c r="C3" s="8"/>
      <c r="D3" s="8"/>
      <c r="F3" s="8"/>
      <c r="G3" s="8"/>
      <c r="H3" s="8"/>
      <c r="I3" s="8"/>
      <c r="J3" s="8"/>
      <c r="N3" s="9" t="s">
        <v>50</v>
      </c>
      <c r="O3" s="10" t="s">
        <v>3</v>
      </c>
    </row>
    <row r="4" spans="1:15" ht="14.25" customHeight="1">
      <c r="A4" s="8" t="s">
        <v>4</v>
      </c>
      <c r="B4" s="8"/>
      <c r="C4" s="8"/>
      <c r="D4" s="8"/>
      <c r="F4" s="8"/>
      <c r="G4" s="8"/>
      <c r="H4" s="8"/>
      <c r="I4" s="8"/>
      <c r="J4" s="8"/>
      <c r="M4" s="8"/>
    </row>
    <row r="6" spans="1:15" ht="19.5" customHeight="1">
      <c r="A6" s="138" t="s">
        <v>5</v>
      </c>
      <c r="B6" s="136" t="s">
        <v>76</v>
      </c>
      <c r="C6" s="11"/>
      <c r="D6" s="137" t="s">
        <v>74</v>
      </c>
      <c r="E6" s="137"/>
      <c r="F6" s="137"/>
      <c r="G6" s="137"/>
      <c r="H6" s="137"/>
      <c r="I6" s="137"/>
      <c r="J6" s="137"/>
      <c r="K6" s="137"/>
      <c r="L6" s="137"/>
      <c r="M6" s="137"/>
      <c r="N6" s="137"/>
    </row>
    <row r="7" spans="1:15" ht="13.5" customHeight="1">
      <c r="A7" s="138"/>
      <c r="B7" s="136"/>
      <c r="C7" s="12"/>
      <c r="D7" s="139" t="s">
        <v>7</v>
      </c>
      <c r="E7" s="139"/>
      <c r="F7" s="12"/>
      <c r="G7" s="139" t="s">
        <v>8</v>
      </c>
      <c r="H7" s="139"/>
      <c r="I7" s="12"/>
      <c r="J7" s="140" t="s">
        <v>9</v>
      </c>
      <c r="K7" s="140"/>
      <c r="L7" s="12"/>
      <c r="M7" s="139" t="s">
        <v>10</v>
      </c>
      <c r="N7" s="139"/>
    </row>
    <row r="8" spans="1:15" ht="15.75" customHeight="1">
      <c r="A8" s="138"/>
      <c r="B8" s="136"/>
      <c r="C8" s="14"/>
      <c r="D8" s="13" t="s">
        <v>11</v>
      </c>
      <c r="E8" s="13" t="s">
        <v>12</v>
      </c>
      <c r="F8" s="14"/>
      <c r="G8" s="13" t="s">
        <v>11</v>
      </c>
      <c r="H8" s="13" t="s">
        <v>12</v>
      </c>
      <c r="I8" s="14"/>
      <c r="J8" s="13" t="s">
        <v>11</v>
      </c>
      <c r="K8" s="13" t="s">
        <v>12</v>
      </c>
      <c r="L8" s="13"/>
      <c r="M8" s="13" t="s">
        <v>11</v>
      </c>
      <c r="N8" s="13" t="s">
        <v>12</v>
      </c>
    </row>
    <row r="9" spans="1:15">
      <c r="A9" s="15"/>
      <c r="B9" s="16"/>
      <c r="C9" s="16"/>
      <c r="D9" s="12"/>
      <c r="E9" s="12"/>
      <c r="F9" s="16"/>
      <c r="G9" s="16"/>
      <c r="H9" s="16"/>
      <c r="I9" s="16"/>
      <c r="J9" s="12"/>
      <c r="K9" s="12"/>
      <c r="L9" s="12"/>
      <c r="M9" s="12"/>
      <c r="N9" s="12"/>
    </row>
    <row r="10" spans="1:15">
      <c r="A10" s="8" t="s">
        <v>13</v>
      </c>
      <c r="B10" s="17">
        <v>25432.216228869202</v>
      </c>
      <c r="C10" s="15"/>
      <c r="D10" s="17">
        <v>14871.7334882261</v>
      </c>
      <c r="E10" s="18">
        <f>0.584759635353544*100</f>
        <v>58.475963535354403</v>
      </c>
      <c r="F10" s="107"/>
      <c r="G10" s="19">
        <v>3939.8953611911802</v>
      </c>
      <c r="H10" s="20">
        <f>0.154917500139796*100</f>
        <v>15.491750013979599</v>
      </c>
      <c r="I10" s="107"/>
      <c r="J10" s="19">
        <v>1281.7572300111999</v>
      </c>
      <c r="K10" s="20">
        <f>0.0503989592757638*100</f>
        <v>5.0398959275763797</v>
      </c>
      <c r="L10" s="101"/>
      <c r="M10" s="19">
        <v>2118.8744557865102</v>
      </c>
      <c r="N10" s="20">
        <f>0.08331458165967*100</f>
        <v>8.3314581659669997</v>
      </c>
    </row>
    <row r="11" spans="1:15">
      <c r="A11" s="22" t="s">
        <v>14</v>
      </c>
      <c r="B11" s="23">
        <v>743.47942771533906</v>
      </c>
      <c r="C11" s="24"/>
      <c r="D11" s="25">
        <v>409.460989376111</v>
      </c>
      <c r="E11" s="26">
        <f>0.550736138906165*100</f>
        <v>55.0736138906165</v>
      </c>
      <c r="F11" s="108"/>
      <c r="G11" s="27">
        <v>41.212926224999698</v>
      </c>
      <c r="H11" s="28">
        <f>0.055432503830865 *100</f>
        <v>5.5432503830864999</v>
      </c>
      <c r="I11" s="108"/>
      <c r="J11" s="27">
        <v>85.243830282924606</v>
      </c>
      <c r="K11" s="28">
        <f>0.11465526429544 *100</f>
        <v>11.465526429543999</v>
      </c>
      <c r="L11" s="102"/>
      <c r="M11" s="27">
        <v>72.915177159259699</v>
      </c>
      <c r="N11" s="30">
        <f>0.0980728913822445*100</f>
        <v>9.8072891382244496</v>
      </c>
      <c r="O11" s="31"/>
    </row>
    <row r="12" spans="1:15" s="35" customFormat="1" ht="11.25">
      <c r="A12" s="106" t="s">
        <v>15</v>
      </c>
      <c r="B12" s="105">
        <v>4842.6031184561398</v>
      </c>
      <c r="C12" s="32"/>
      <c r="D12" s="27">
        <v>732.04774691416503</v>
      </c>
      <c r="E12" s="30">
        <f>0.151168231012817*100</f>
        <v>15.116823101281701</v>
      </c>
      <c r="F12" s="109"/>
      <c r="G12" s="27">
        <v>731.21493389138504</v>
      </c>
      <c r="H12" s="30">
        <f>0.150996254701232*100</f>
        <v>15.0996254701232</v>
      </c>
      <c r="I12" s="109"/>
      <c r="J12" s="27">
        <v>209.23485618703899</v>
      </c>
      <c r="K12" s="28">
        <f>0.0432071039209476*100</f>
        <v>4.3207103920947603</v>
      </c>
      <c r="L12" s="103"/>
      <c r="M12" s="27">
        <v>357.027730826896</v>
      </c>
      <c r="N12" s="30">
        <f>0.0737264074906719*100</f>
        <v>7.3726407490671901</v>
      </c>
      <c r="O12" s="34"/>
    </row>
    <row r="13" spans="1:15">
      <c r="A13" s="22" t="s">
        <v>16</v>
      </c>
      <c r="B13" s="23">
        <v>5093.2446367570201</v>
      </c>
      <c r="C13" s="24"/>
      <c r="D13" s="23">
        <v>3857.0417800376999</v>
      </c>
      <c r="E13" s="36">
        <f>0.757285788356234*100</f>
        <v>75.728578835623395</v>
      </c>
      <c r="F13" s="110"/>
      <c r="G13" s="38">
        <v>714.59515464887704</v>
      </c>
      <c r="H13" s="39">
        <f>0.140302539071415*100</f>
        <v>14.0302539071415</v>
      </c>
      <c r="I13" s="110"/>
      <c r="J13" s="25">
        <v>249.91941153349299</v>
      </c>
      <c r="K13" s="26">
        <f>0.0490688017869534*100</f>
        <v>4.9068801786953404</v>
      </c>
      <c r="L13" s="102"/>
      <c r="M13" s="38">
        <v>194.96884326836599</v>
      </c>
      <c r="N13" s="39">
        <f>0.0382798897703267*100</f>
        <v>3.8279889770326703</v>
      </c>
      <c r="O13" s="31"/>
    </row>
    <row r="14" spans="1:15">
      <c r="A14" s="40" t="s">
        <v>17</v>
      </c>
      <c r="B14" s="41">
        <v>14752.889045940699</v>
      </c>
      <c r="C14" s="42"/>
      <c r="D14" s="41">
        <v>9873.1829718980807</v>
      </c>
      <c r="E14" s="43">
        <f>0.66923725523542*100</f>
        <v>66.923725523542004</v>
      </c>
      <c r="F14" s="111"/>
      <c r="G14" s="44">
        <v>2452.8723464259201</v>
      </c>
      <c r="H14" s="45">
        <f>0.16626386457511*100</f>
        <v>16.626386457511</v>
      </c>
      <c r="I14" s="111"/>
      <c r="J14" s="46">
        <v>737.35913200774405</v>
      </c>
      <c r="K14" s="47">
        <f>0.0499806600396434*100</f>
        <v>4.9980660039643405</v>
      </c>
      <c r="L14" s="104"/>
      <c r="M14" s="44">
        <v>1493.9627045319901</v>
      </c>
      <c r="N14" s="45">
        <f>0.101265772411069*100</f>
        <v>10.126577241106901</v>
      </c>
      <c r="O14" s="31"/>
    </row>
    <row r="16" spans="1:15" s="120" customFormat="1" ht="15" customHeight="1">
      <c r="A16" s="118" t="s">
        <v>52</v>
      </c>
      <c r="B16" s="119"/>
      <c r="C16" s="119"/>
      <c r="D16" s="119"/>
      <c r="E16" s="119"/>
      <c r="F16" s="119"/>
      <c r="G16" s="119"/>
      <c r="H16" s="119"/>
      <c r="I16" s="119"/>
    </row>
    <row r="17" spans="1:9" s="120" customFormat="1" ht="15" customHeight="1">
      <c r="A17" s="121" t="s">
        <v>62</v>
      </c>
      <c r="B17" s="121"/>
      <c r="C17" s="121"/>
      <c r="D17" s="121"/>
      <c r="E17" s="121"/>
      <c r="F17" s="121"/>
      <c r="G17" s="121"/>
      <c r="H17" s="121"/>
      <c r="I17" s="121"/>
    </row>
    <row r="18" spans="1:9" s="120" customFormat="1" ht="15" customHeight="1">
      <c r="A18" s="121" t="s">
        <v>53</v>
      </c>
      <c r="B18" s="121"/>
      <c r="C18" s="121"/>
      <c r="D18" s="121"/>
      <c r="E18" s="121"/>
      <c r="F18" s="121"/>
      <c r="G18" s="121"/>
      <c r="H18" s="121"/>
      <c r="I18" s="121"/>
    </row>
    <row r="19" spans="1:9" s="120" customFormat="1" ht="15" customHeight="1">
      <c r="A19" s="121" t="s">
        <v>54</v>
      </c>
      <c r="B19" s="121"/>
      <c r="C19" s="121"/>
      <c r="D19" s="121"/>
      <c r="E19" s="121"/>
      <c r="F19" s="121"/>
      <c r="G19" s="121"/>
      <c r="H19" s="121"/>
      <c r="I19" s="121"/>
    </row>
    <row r="20" spans="1:9" s="120" customFormat="1" ht="15" customHeight="1">
      <c r="A20" s="122" t="s">
        <v>55</v>
      </c>
      <c r="B20" s="123"/>
      <c r="C20" s="124"/>
      <c r="D20" s="124"/>
      <c r="E20" s="121"/>
      <c r="F20" s="121"/>
      <c r="G20" s="121"/>
      <c r="H20" s="121"/>
      <c r="I20" s="121"/>
    </row>
    <row r="21" spans="1:9" s="120" customFormat="1" ht="15" customHeight="1">
      <c r="A21" s="125" t="s">
        <v>56</v>
      </c>
      <c r="B21" s="126"/>
      <c r="C21" s="127"/>
      <c r="D21" s="127"/>
      <c r="E21" s="128"/>
      <c r="F21" s="128"/>
      <c r="G21" s="128"/>
      <c r="H21" s="128"/>
      <c r="I21" s="121"/>
    </row>
    <row r="22" spans="1:9" s="120" customFormat="1" ht="15" customHeight="1">
      <c r="A22" s="129" t="s">
        <v>57</v>
      </c>
      <c r="B22" s="130"/>
      <c r="C22" s="131"/>
      <c r="D22" s="131"/>
      <c r="E22" s="132"/>
      <c r="F22" s="132"/>
      <c r="G22" s="132"/>
      <c r="H22" s="132"/>
      <c r="I22" s="121"/>
    </row>
    <row r="23" spans="1:9">
      <c r="A23" s="49"/>
      <c r="B23" s="50"/>
      <c r="C23" s="1"/>
      <c r="D23" s="1"/>
      <c r="E23" s="1"/>
      <c r="F23" s="1"/>
      <c r="G23" s="1"/>
      <c r="H23" s="1"/>
      <c r="I23" s="1"/>
    </row>
    <row r="24" spans="1:9">
      <c r="A24" s="1" t="s">
        <v>18</v>
      </c>
      <c r="B24" s="1"/>
      <c r="C24" s="1"/>
      <c r="D24" s="1"/>
      <c r="E24" s="1"/>
      <c r="F24" s="1"/>
      <c r="G24" s="1"/>
      <c r="H24" s="1"/>
      <c r="I24" s="1"/>
    </row>
  </sheetData>
  <mergeCells count="7">
    <mergeCell ref="A6:A8"/>
    <mergeCell ref="B6:B8"/>
    <mergeCell ref="D6:N6"/>
    <mergeCell ref="D7:E7"/>
    <mergeCell ref="G7:H7"/>
    <mergeCell ref="J7:K7"/>
    <mergeCell ref="M7:N7"/>
  </mergeCells>
  <hyperlinks>
    <hyperlink ref="O3" location="Index!A1" display="Index" xr:uid="{B70AC5AE-8E27-48BD-9BE8-10012C7187FC}"/>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26"/>
  <sheetViews>
    <sheetView zoomScaleNormal="100" workbookViewId="0"/>
  </sheetViews>
  <sheetFormatPr baseColWidth="10" defaultColWidth="9.140625" defaultRowHeight="15"/>
  <cols>
    <col min="1" max="1" width="18.140625" style="35" customWidth="1"/>
    <col min="2" max="2" width="17.5703125" style="35" customWidth="1"/>
    <col min="3" max="3" width="1.7109375" style="35" customWidth="1"/>
    <col min="4" max="5" width="9.28515625" style="35" customWidth="1"/>
    <col min="6" max="6" width="2" style="35" customWidth="1"/>
    <col min="7" max="7" width="12.28515625" style="35" customWidth="1"/>
    <col min="8" max="8" width="10.5703125" style="35" customWidth="1"/>
    <col min="9" max="9" width="2.28515625" style="35" customWidth="1"/>
    <col min="10" max="10" width="8.42578125" style="35" customWidth="1"/>
    <col min="11" max="11" width="10.5703125" style="35" customWidth="1"/>
    <col min="12" max="12" width="1.7109375" style="35" customWidth="1"/>
    <col min="13" max="13" width="8.42578125" style="35" customWidth="1"/>
    <col min="14" max="14" width="10.5703125" style="35" customWidth="1"/>
    <col min="15" max="1025" width="11.28515625" style="35" customWidth="1"/>
  </cols>
  <sheetData>
    <row r="1" spans="1:15" s="52" customFormat="1" ht="11.25">
      <c r="A1" s="51" t="s">
        <v>0</v>
      </c>
      <c r="B1" s="51"/>
      <c r="C1" s="51"/>
      <c r="D1" s="51"/>
      <c r="F1" s="51"/>
      <c r="G1" s="51"/>
      <c r="H1" s="51" t="s">
        <v>1</v>
      </c>
      <c r="I1" s="51"/>
      <c r="J1" s="51"/>
      <c r="M1" s="51"/>
    </row>
    <row r="2" spans="1:15" s="52" customFormat="1" ht="11.25">
      <c r="A2" s="51"/>
      <c r="B2" s="51"/>
      <c r="C2" s="51"/>
      <c r="D2" s="51"/>
      <c r="F2" s="51"/>
      <c r="G2" s="51"/>
      <c r="H2" s="51"/>
      <c r="I2" s="51"/>
      <c r="J2" s="51"/>
      <c r="M2" s="51"/>
    </row>
    <row r="3" spans="1:15">
      <c r="A3" s="59" t="s">
        <v>77</v>
      </c>
      <c r="B3" s="59"/>
      <c r="C3" s="59"/>
      <c r="D3" s="59"/>
      <c r="F3" s="59"/>
      <c r="G3" s="59"/>
      <c r="H3" s="59"/>
      <c r="I3" s="59"/>
      <c r="J3" s="59"/>
      <c r="N3" s="1" t="s">
        <v>23</v>
      </c>
      <c r="O3" s="10" t="s">
        <v>3</v>
      </c>
    </row>
    <row r="4" spans="1:15">
      <c r="A4" s="59" t="s">
        <v>4</v>
      </c>
      <c r="B4" s="59"/>
      <c r="C4" s="59"/>
      <c r="D4" s="59"/>
      <c r="F4" s="59"/>
      <c r="G4" s="59"/>
      <c r="H4" s="59"/>
      <c r="I4" s="59"/>
      <c r="J4" s="59"/>
      <c r="N4" s="1"/>
    </row>
    <row r="6" spans="1:15" ht="18.75" customHeight="1">
      <c r="A6" s="141" t="s">
        <v>5</v>
      </c>
      <c r="B6" s="142" t="s">
        <v>6</v>
      </c>
      <c r="C6" s="60"/>
      <c r="D6" s="143" t="s">
        <v>78</v>
      </c>
      <c r="E6" s="143"/>
      <c r="F6" s="143"/>
      <c r="G6" s="143"/>
      <c r="H6" s="143"/>
      <c r="I6" s="143"/>
      <c r="J6" s="143"/>
      <c r="K6" s="143"/>
      <c r="L6" s="143"/>
      <c r="M6" s="143"/>
      <c r="N6" s="143"/>
    </row>
    <row r="7" spans="1:15">
      <c r="A7" s="141"/>
      <c r="B7" s="142"/>
      <c r="C7" s="61"/>
      <c r="D7" s="144" t="s">
        <v>24</v>
      </c>
      <c r="E7" s="144"/>
      <c r="F7" s="61"/>
      <c r="G7" s="144" t="s">
        <v>25</v>
      </c>
      <c r="H7" s="144"/>
      <c r="I7" s="61"/>
      <c r="J7" s="145" t="s">
        <v>26</v>
      </c>
      <c r="K7" s="145"/>
      <c r="L7" s="61"/>
      <c r="M7" s="144" t="s">
        <v>27</v>
      </c>
      <c r="N7" s="144"/>
    </row>
    <row r="8" spans="1:15" ht="15.75" customHeight="1">
      <c r="A8" s="141"/>
      <c r="B8" s="142"/>
      <c r="C8" s="63"/>
      <c r="D8" s="62" t="s">
        <v>11</v>
      </c>
      <c r="E8" s="62" t="s">
        <v>12</v>
      </c>
      <c r="F8" s="63"/>
      <c r="G8" s="62" t="s">
        <v>11</v>
      </c>
      <c r="H8" s="62" t="s">
        <v>12</v>
      </c>
      <c r="I8" s="63"/>
      <c r="J8" s="62" t="s">
        <v>11</v>
      </c>
      <c r="K8" s="62" t="s">
        <v>12</v>
      </c>
      <c r="L8" s="62"/>
      <c r="M8" s="62" t="s">
        <v>11</v>
      </c>
      <c r="N8" s="62" t="s">
        <v>12</v>
      </c>
    </row>
    <row r="9" spans="1:15">
      <c r="A9" s="64"/>
      <c r="B9" s="65"/>
      <c r="C9" s="65"/>
      <c r="D9" s="61"/>
      <c r="E9" s="61"/>
      <c r="F9" s="65"/>
      <c r="G9" s="65"/>
      <c r="H9" s="65"/>
      <c r="I9" s="65"/>
      <c r="J9" s="61"/>
      <c r="K9" s="61"/>
      <c r="L9" s="61"/>
      <c r="M9" s="61"/>
      <c r="N9" s="61"/>
    </row>
    <row r="10" spans="1:15">
      <c r="A10" s="59" t="s">
        <v>13</v>
      </c>
      <c r="B10" s="17">
        <v>22619.138378232601</v>
      </c>
      <c r="C10" s="64"/>
      <c r="D10" s="17">
        <v>15141.484418968001</v>
      </c>
      <c r="E10" s="18">
        <f>0.669410309348446*100</f>
        <v>66.941030934844605</v>
      </c>
      <c r="F10" s="64"/>
      <c r="G10" s="66">
        <v>2788.78914582165</v>
      </c>
      <c r="H10" s="67">
        <f>0.123293341204607*100</f>
        <v>12.3293341204607</v>
      </c>
      <c r="I10" s="64"/>
      <c r="J10" s="66">
        <v>3115.2304944868101</v>
      </c>
      <c r="K10" s="67">
        <f>0.137725427131421*100</f>
        <v>13.7725427131421</v>
      </c>
      <c r="L10" s="68"/>
      <c r="M10" s="69">
        <v>351.72766790797698</v>
      </c>
      <c r="N10" s="70">
        <f>0.0155500029234739*100</f>
        <v>1.55500029234739</v>
      </c>
    </row>
    <row r="11" spans="1:15">
      <c r="A11" s="71" t="s">
        <v>14</v>
      </c>
      <c r="B11" s="23">
        <v>743.47942771533906</v>
      </c>
      <c r="C11" s="32"/>
      <c r="D11" s="72">
        <v>468.49762555709998</v>
      </c>
      <c r="E11" s="73">
        <f>0.630142016164134*100</f>
        <v>63.014201616413402</v>
      </c>
      <c r="F11" s="32"/>
      <c r="G11" s="27" t="s">
        <v>28</v>
      </c>
      <c r="H11" s="28" t="s">
        <v>28</v>
      </c>
      <c r="I11" s="32"/>
      <c r="J11" s="27">
        <v>38.042701128086499</v>
      </c>
      <c r="K11" s="28">
        <f>0.051168465071036 *100</f>
        <v>5.1168465071035998</v>
      </c>
      <c r="L11" s="33"/>
      <c r="M11" s="27">
        <v>102.292596358108</v>
      </c>
      <c r="N11" s="28">
        <f>0.137586317179544 *100</f>
        <v>13.758631717954401</v>
      </c>
    </row>
    <row r="12" spans="1:15">
      <c r="A12" s="71" t="s">
        <v>29</v>
      </c>
      <c r="B12" s="105">
        <v>2029.52526781949</v>
      </c>
      <c r="C12" s="32"/>
      <c r="D12" s="27">
        <v>413.35206328557501</v>
      </c>
      <c r="E12" s="28">
        <f>0.203669335799735*100</f>
        <v>20.366933579973502</v>
      </c>
      <c r="F12" s="32"/>
      <c r="G12" s="27">
        <v>536.37189334765696</v>
      </c>
      <c r="H12" s="28">
        <f>0.264284412641944*100</f>
        <v>26.428441264194401</v>
      </c>
      <c r="I12" s="32"/>
      <c r="J12" s="27">
        <v>213.10957570731199</v>
      </c>
      <c r="K12" s="28">
        <f>0.105004642753857*100</f>
        <v>10.500464275385699</v>
      </c>
      <c r="L12" s="33"/>
      <c r="M12" s="27" t="s">
        <v>28</v>
      </c>
      <c r="N12" s="28" t="s">
        <v>28</v>
      </c>
    </row>
    <row r="13" spans="1:15">
      <c r="A13" s="71" t="s">
        <v>16</v>
      </c>
      <c r="B13" s="23">
        <v>5093.2446367570201</v>
      </c>
      <c r="C13" s="32"/>
      <c r="D13" s="74">
        <v>4048.4806027628501</v>
      </c>
      <c r="E13" s="75">
        <f>0.794872599196534*100</f>
        <v>79.487259919653397</v>
      </c>
      <c r="F13" s="32"/>
      <c r="G13" s="27">
        <v>666.81155955886095</v>
      </c>
      <c r="H13" s="28">
        <f>0.130920779800484*100</f>
        <v>13.0920779800484</v>
      </c>
      <c r="I13" s="32"/>
      <c r="J13" s="27">
        <v>301.23302716671998</v>
      </c>
      <c r="K13" s="28">
        <f>0.0591436399879118*100</f>
        <v>5.9143639987911802</v>
      </c>
      <c r="L13" s="33"/>
      <c r="M13" s="27" t="s">
        <v>28</v>
      </c>
      <c r="N13" s="28" t="s">
        <v>28</v>
      </c>
    </row>
    <row r="14" spans="1:15">
      <c r="A14" s="76" t="s">
        <v>17</v>
      </c>
      <c r="B14" s="41">
        <v>14752.889045940699</v>
      </c>
      <c r="C14" s="77"/>
      <c r="D14" s="41">
        <v>10211.154127362501</v>
      </c>
      <c r="E14" s="43">
        <f>0.692146066818828*100</f>
        <v>69.214606681882799</v>
      </c>
      <c r="F14" s="77"/>
      <c r="G14" s="44">
        <v>1585.60569291513</v>
      </c>
      <c r="H14" s="45">
        <f>0.107477639666206*100</f>
        <v>10.747763966620601</v>
      </c>
      <c r="I14" s="77"/>
      <c r="J14" s="44">
        <v>2562.8451904846902</v>
      </c>
      <c r="K14" s="45">
        <f>0.17371819055264*100</f>
        <v>17.371819055264002</v>
      </c>
      <c r="L14" s="78"/>
      <c r="M14" s="46">
        <v>249.43507154986901</v>
      </c>
      <c r="N14" s="79">
        <f>0.0169075406703815*100</f>
        <v>1.6907540670381498</v>
      </c>
    </row>
    <row r="16" spans="1:15">
      <c r="A16" s="80" t="s">
        <v>58</v>
      </c>
    </row>
    <row r="17" spans="1:9">
      <c r="A17" s="133" t="s">
        <v>59</v>
      </c>
    </row>
    <row r="18" spans="1:9" s="120" customFormat="1" ht="15" customHeight="1">
      <c r="A18" s="118" t="s">
        <v>52</v>
      </c>
      <c r="B18" s="119"/>
      <c r="C18" s="119"/>
      <c r="D18" s="119"/>
      <c r="E18" s="119"/>
      <c r="F18" s="119"/>
      <c r="G18" s="119"/>
      <c r="H18" s="119"/>
      <c r="I18" s="119"/>
    </row>
    <row r="19" spans="1:9" s="120" customFormat="1" ht="15" customHeight="1">
      <c r="A19" s="121" t="s">
        <v>62</v>
      </c>
      <c r="B19" s="121"/>
      <c r="C19" s="121"/>
      <c r="D19" s="121"/>
      <c r="E19" s="121"/>
      <c r="F19" s="121"/>
      <c r="G19" s="121"/>
      <c r="H19" s="121"/>
      <c r="I19" s="121"/>
    </row>
    <row r="20" spans="1:9" s="120" customFormat="1" ht="15" customHeight="1">
      <c r="A20" s="121" t="s">
        <v>53</v>
      </c>
      <c r="B20" s="121"/>
      <c r="C20" s="121"/>
      <c r="D20" s="121"/>
      <c r="E20" s="121"/>
      <c r="F20" s="121"/>
      <c r="G20" s="121"/>
      <c r="H20" s="121"/>
      <c r="I20" s="121"/>
    </row>
    <row r="21" spans="1:9" s="120" customFormat="1" ht="15" customHeight="1">
      <c r="A21" s="121" t="s">
        <v>54</v>
      </c>
      <c r="B21" s="121"/>
      <c r="C21" s="121"/>
      <c r="D21" s="121"/>
      <c r="E21" s="121"/>
      <c r="F21" s="121"/>
      <c r="G21" s="121"/>
      <c r="H21" s="121"/>
      <c r="I21" s="121"/>
    </row>
    <row r="22" spans="1:9" s="120" customFormat="1" ht="15" customHeight="1">
      <c r="A22" s="122" t="s">
        <v>55</v>
      </c>
      <c r="B22" s="123"/>
      <c r="C22" s="124"/>
      <c r="D22" s="124"/>
      <c r="E22" s="121"/>
      <c r="F22" s="121"/>
      <c r="G22" s="121"/>
      <c r="H22" s="121"/>
      <c r="I22" s="121"/>
    </row>
    <row r="23" spans="1:9" s="120" customFormat="1" ht="15" customHeight="1">
      <c r="A23" s="125" t="s">
        <v>56</v>
      </c>
      <c r="B23" s="126"/>
      <c r="C23" s="127"/>
      <c r="D23" s="127"/>
      <c r="E23" s="128"/>
      <c r="F23" s="128"/>
      <c r="G23" s="128"/>
      <c r="H23" s="128"/>
      <c r="I23" s="121"/>
    </row>
    <row r="24" spans="1:9" s="120" customFormat="1" ht="15" customHeight="1">
      <c r="A24" s="129" t="s">
        <v>57</v>
      </c>
      <c r="B24" s="130"/>
      <c r="C24" s="131"/>
      <c r="D24" s="131"/>
      <c r="E24" s="132"/>
      <c r="F24" s="132"/>
      <c r="G24" s="132"/>
      <c r="H24" s="132"/>
      <c r="I24" s="121"/>
    </row>
    <row r="25" spans="1:9">
      <c r="A25" s="49"/>
      <c r="B25" s="50"/>
      <c r="C25" s="1"/>
      <c r="D25" s="1"/>
      <c r="E25" s="1"/>
      <c r="F25" s="1"/>
      <c r="G25" s="1"/>
      <c r="H25" s="1"/>
      <c r="I25" s="1"/>
    </row>
    <row r="26" spans="1:9">
      <c r="A26" s="1" t="s">
        <v>18</v>
      </c>
      <c r="B26" s="1"/>
      <c r="C26" s="1"/>
      <c r="D26" s="1"/>
      <c r="E26" s="1"/>
      <c r="F26" s="1"/>
      <c r="G26" s="1"/>
      <c r="H26" s="1"/>
      <c r="I26" s="1"/>
    </row>
  </sheetData>
  <mergeCells count="7">
    <mergeCell ref="A6:A8"/>
    <mergeCell ref="B6:B8"/>
    <mergeCell ref="D6:N6"/>
    <mergeCell ref="D7:E7"/>
    <mergeCell ref="G7:H7"/>
    <mergeCell ref="J7:K7"/>
    <mergeCell ref="M7:N7"/>
  </mergeCells>
  <hyperlinks>
    <hyperlink ref="O3" location="Index!A1" display="Index" xr:uid="{B0B6A1CE-89FE-4C6D-A7AF-EA1D4A117D0C}"/>
  </hyperlinks>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32"/>
  <sheetViews>
    <sheetView showGridLines="0" zoomScaleNormal="100" workbookViewId="0"/>
  </sheetViews>
  <sheetFormatPr baseColWidth="10" defaultColWidth="9.140625" defaultRowHeight="15"/>
  <cols>
    <col min="1" max="1" width="16.42578125" style="5" customWidth="1"/>
    <col min="2" max="2" width="11.28515625" style="5" customWidth="1"/>
    <col min="3" max="3" width="2.42578125" style="5" customWidth="1"/>
    <col min="4" max="4" width="8.5703125" style="5" customWidth="1"/>
    <col min="5" max="5" width="8.140625" style="5" customWidth="1"/>
    <col min="6" max="6" width="1.7109375" style="5" customWidth="1"/>
    <col min="7" max="7" width="7.140625" style="5" customWidth="1"/>
    <col min="8" max="8" width="9.28515625" style="5" customWidth="1"/>
    <col min="9" max="9" width="2.140625" style="5" customWidth="1"/>
    <col min="10" max="10" width="8.5703125" style="5" customWidth="1"/>
    <col min="11" max="11" width="10" style="5" customWidth="1"/>
    <col min="12" max="12" width="2.7109375" style="5" customWidth="1"/>
    <col min="13" max="13" width="8.5703125" style="5" customWidth="1"/>
    <col min="14" max="14" width="9.28515625" style="5" customWidth="1"/>
    <col min="15" max="15" width="3" style="5" customWidth="1"/>
    <col min="16" max="16" width="8.5703125" style="5" customWidth="1"/>
    <col min="17" max="17" width="9.28515625" style="5" customWidth="1"/>
    <col min="18" max="18" width="1.5703125" style="5" customWidth="1"/>
    <col min="19" max="19" width="9.140625" style="5" customWidth="1"/>
    <col min="20" max="20" width="8.5703125" style="5" customWidth="1"/>
    <col min="21" max="21" width="2.7109375" style="5" customWidth="1"/>
    <col min="22" max="22" width="8.5703125" style="5" customWidth="1"/>
    <col min="23" max="23" width="8.28515625" style="5" customWidth="1"/>
    <col min="24" max="24" width="2.7109375" style="5" customWidth="1"/>
    <col min="25" max="25" width="8.5703125" style="5" customWidth="1"/>
    <col min="26" max="26" width="8.28515625" style="5" customWidth="1"/>
    <col min="27" max="1025" width="11.28515625" style="5" customWidth="1"/>
  </cols>
  <sheetData>
    <row r="1" spans="1:27" s="7" customFormat="1" ht="11.25">
      <c r="A1" s="6" t="s">
        <v>0</v>
      </c>
      <c r="B1" s="6"/>
      <c r="C1" s="6"/>
      <c r="D1" s="6"/>
    </row>
    <row r="2" spans="1:27" s="7" customFormat="1" ht="11.25">
      <c r="A2" s="6"/>
      <c r="B2" s="6"/>
      <c r="C2" s="6"/>
      <c r="D2" s="6"/>
    </row>
    <row r="3" spans="1:27">
      <c r="A3" s="8" t="s">
        <v>79</v>
      </c>
      <c r="B3" s="8"/>
      <c r="C3" s="8"/>
      <c r="Z3" s="9" t="s">
        <v>30</v>
      </c>
      <c r="AA3" s="10" t="s">
        <v>3</v>
      </c>
    </row>
    <row r="4" spans="1:27">
      <c r="A4" s="8" t="s">
        <v>4</v>
      </c>
      <c r="B4" s="8"/>
      <c r="C4" s="8"/>
      <c r="D4" s="8"/>
    </row>
    <row r="5" spans="1:27">
      <c r="A5" s="81"/>
      <c r="B5" s="81"/>
      <c r="C5" s="81"/>
      <c r="D5" s="81"/>
      <c r="E5" s="81"/>
      <c r="F5" s="81"/>
      <c r="G5" s="81"/>
      <c r="H5" s="81"/>
      <c r="I5" s="81"/>
      <c r="J5" s="81"/>
      <c r="K5" s="81"/>
      <c r="L5" s="81"/>
      <c r="M5" s="81"/>
      <c r="N5" s="81"/>
      <c r="O5" s="81"/>
      <c r="P5" s="81"/>
      <c r="Q5" s="81"/>
      <c r="R5" s="81"/>
      <c r="S5" s="81"/>
      <c r="T5" s="81"/>
      <c r="U5" s="81"/>
      <c r="V5" s="81"/>
      <c r="W5" s="81"/>
      <c r="X5" s="81"/>
      <c r="Y5" s="81"/>
      <c r="Z5" s="81"/>
    </row>
    <row r="6" spans="1:27" s="9" customFormat="1" ht="18.75" customHeight="1">
      <c r="A6" s="146" t="s">
        <v>5</v>
      </c>
      <c r="B6" s="140" t="s">
        <v>6</v>
      </c>
      <c r="C6" s="12"/>
      <c r="D6" s="136" t="s">
        <v>80</v>
      </c>
      <c r="E6" s="136"/>
      <c r="F6" s="136"/>
      <c r="G6" s="136"/>
      <c r="H6" s="136"/>
      <c r="I6" s="136"/>
      <c r="J6" s="136"/>
      <c r="K6" s="136"/>
      <c r="L6" s="136"/>
      <c r="M6" s="136"/>
      <c r="N6" s="136"/>
      <c r="O6" s="136"/>
      <c r="P6" s="136"/>
      <c r="Q6" s="136"/>
      <c r="R6" s="136"/>
      <c r="S6" s="136"/>
      <c r="T6" s="136"/>
      <c r="U6" s="136"/>
      <c r="V6" s="136"/>
      <c r="W6" s="136"/>
      <c r="X6" s="136"/>
      <c r="Y6" s="136"/>
      <c r="Z6" s="136"/>
    </row>
    <row r="7" spans="1:27" ht="39" customHeight="1">
      <c r="A7" s="146"/>
      <c r="B7" s="140"/>
      <c r="C7" s="82"/>
      <c r="D7" s="140" t="s">
        <v>31</v>
      </c>
      <c r="E7" s="140"/>
      <c r="F7" s="140"/>
      <c r="G7" s="140" t="s">
        <v>32</v>
      </c>
      <c r="H7" s="140"/>
      <c r="J7" s="140" t="s">
        <v>33</v>
      </c>
      <c r="K7" s="140"/>
      <c r="L7" s="6"/>
      <c r="M7" s="140" t="s">
        <v>34</v>
      </c>
      <c r="N7" s="140"/>
      <c r="O7" s="6"/>
      <c r="P7" s="140" t="s">
        <v>35</v>
      </c>
      <c r="Q7" s="140"/>
      <c r="R7" s="6"/>
      <c r="S7" s="140" t="s">
        <v>36</v>
      </c>
      <c r="T7" s="140"/>
      <c r="U7" s="6"/>
      <c r="V7" s="140" t="s">
        <v>37</v>
      </c>
      <c r="W7" s="140"/>
      <c r="X7" s="6"/>
      <c r="Y7" s="140" t="s">
        <v>38</v>
      </c>
      <c r="Z7" s="140"/>
    </row>
    <row r="8" spans="1:27">
      <c r="A8" s="146"/>
      <c r="B8" s="140"/>
      <c r="C8" s="83"/>
      <c r="D8" s="62" t="s">
        <v>11</v>
      </c>
      <c r="E8" s="13" t="s">
        <v>12</v>
      </c>
      <c r="F8" s="13"/>
      <c r="G8" s="13" t="s">
        <v>11</v>
      </c>
      <c r="H8" s="13" t="s">
        <v>12</v>
      </c>
      <c r="I8" s="57"/>
      <c r="J8" s="62" t="s">
        <v>11</v>
      </c>
      <c r="K8" s="13" t="s">
        <v>12</v>
      </c>
      <c r="L8" s="57"/>
      <c r="M8" s="62" t="s">
        <v>11</v>
      </c>
      <c r="N8" s="13" t="s">
        <v>12</v>
      </c>
      <c r="O8" s="57"/>
      <c r="P8" s="62" t="s">
        <v>11</v>
      </c>
      <c r="Q8" s="13" t="s">
        <v>12</v>
      </c>
      <c r="R8" s="57"/>
      <c r="S8" s="62" t="s">
        <v>11</v>
      </c>
      <c r="T8" s="13" t="s">
        <v>12</v>
      </c>
      <c r="U8" s="57"/>
      <c r="V8" s="62" t="s">
        <v>11</v>
      </c>
      <c r="W8" s="13" t="s">
        <v>12</v>
      </c>
      <c r="X8" s="57"/>
      <c r="Y8" s="62" t="s">
        <v>11</v>
      </c>
      <c r="Z8" s="13" t="s">
        <v>12</v>
      </c>
    </row>
    <row r="9" spans="1:27">
      <c r="A9" s="84"/>
      <c r="B9" s="85"/>
      <c r="C9" s="85"/>
      <c r="D9" s="15"/>
      <c r="E9" s="15"/>
      <c r="F9" s="15"/>
      <c r="G9" s="15"/>
      <c r="H9" s="15"/>
    </row>
    <row r="10" spans="1:27">
      <c r="A10" s="86" t="s">
        <v>20</v>
      </c>
      <c r="B10" s="112">
        <v>17834.796533211698</v>
      </c>
      <c r="C10" s="85"/>
      <c r="D10" s="66">
        <v>1930.6750495562701</v>
      </c>
      <c r="E10" s="67">
        <f>0.108253270283235*100</f>
        <v>10.8253270283235</v>
      </c>
      <c r="F10" s="15"/>
      <c r="G10" s="66">
        <v>1396.31390099123</v>
      </c>
      <c r="H10" s="67">
        <f>0.0782915520449608*100</f>
        <v>7.8291552044960797</v>
      </c>
      <c r="J10" s="87" t="s">
        <v>28</v>
      </c>
      <c r="K10" s="88" t="s">
        <v>28</v>
      </c>
      <c r="M10" s="66">
        <v>1783.4218679696201</v>
      </c>
      <c r="N10" s="67">
        <f>0.0999967599657533*100</f>
        <v>9.9996759965753306</v>
      </c>
      <c r="P10" s="66">
        <v>2985.8635048362598</v>
      </c>
      <c r="Q10" s="67">
        <f>0.167417862002296*100</f>
        <v>16.741786200229601</v>
      </c>
      <c r="S10" s="66">
        <v>399.436620195047</v>
      </c>
      <c r="T10" s="67">
        <f>0.0223964775516907*100</f>
        <v>2.2396477551690701</v>
      </c>
      <c r="V10" s="66">
        <v>6921.67070141558</v>
      </c>
      <c r="W10" s="67">
        <f>0.38809922437445*100</f>
        <v>38.809922437444996</v>
      </c>
      <c r="Y10" s="89">
        <v>2333.72094577287</v>
      </c>
      <c r="Z10" s="90">
        <f>0.13085212054015*100</f>
        <v>13.085212054014999</v>
      </c>
    </row>
    <row r="11" spans="1:27" s="35" customFormat="1" ht="11.25">
      <c r="A11" s="71" t="s">
        <v>15</v>
      </c>
      <c r="B11" s="105">
        <v>632.38442474955502</v>
      </c>
      <c r="C11" s="32"/>
      <c r="D11" s="91">
        <v>254.07089684338399</v>
      </c>
      <c r="E11" s="30">
        <f>0.401766531400587*100</f>
        <v>40.176653140058697</v>
      </c>
      <c r="F11" s="33"/>
      <c r="G11" s="91">
        <v>34.8724760311732</v>
      </c>
      <c r="H11" s="30">
        <f>0.0551444258687805*100</f>
        <v>5.51444258687805</v>
      </c>
      <c r="I11" s="32"/>
      <c r="J11" s="27" t="s">
        <v>28</v>
      </c>
      <c r="K11" s="28" t="s">
        <v>28</v>
      </c>
      <c r="L11" s="33"/>
      <c r="M11" s="91">
        <v>343.44105187499798</v>
      </c>
      <c r="N11" s="30">
        <f>0.543089042730633*100</f>
        <v>54.308904273063298</v>
      </c>
      <c r="O11" s="33"/>
      <c r="P11" s="27" t="s">
        <v>28</v>
      </c>
      <c r="Q11" s="28" t="s">
        <v>28</v>
      </c>
      <c r="S11" s="27" t="s">
        <v>28</v>
      </c>
      <c r="T11" s="28" t="s">
        <v>28</v>
      </c>
      <c r="V11" s="27" t="s">
        <v>28</v>
      </c>
      <c r="W11" s="28" t="s">
        <v>28</v>
      </c>
      <c r="Y11" s="27" t="s">
        <v>28</v>
      </c>
      <c r="Z11" s="28" t="s">
        <v>28</v>
      </c>
    </row>
    <row r="12" spans="1:27">
      <c r="A12" s="71" t="s">
        <v>16</v>
      </c>
      <c r="B12" s="113">
        <v>4321.8567446902598</v>
      </c>
      <c r="C12" s="32"/>
      <c r="D12" s="25">
        <v>1242.50640481251</v>
      </c>
      <c r="E12" s="26">
        <f>0.287493657983696*100</f>
        <v>28.749365798369602</v>
      </c>
      <c r="F12" s="33"/>
      <c r="G12" s="92">
        <v>663.398954898179</v>
      </c>
      <c r="H12" s="39">
        <f>0.153498598886513*100</f>
        <v>15.349859888651299</v>
      </c>
      <c r="I12" s="93"/>
      <c r="J12" s="38" t="s">
        <v>28</v>
      </c>
      <c r="K12" s="94" t="s">
        <v>28</v>
      </c>
      <c r="L12" s="33"/>
      <c r="M12" s="25">
        <v>163.900637346514</v>
      </c>
      <c r="N12" s="26">
        <f>0.0379236626822208*100</f>
        <v>3.7923662682220796</v>
      </c>
      <c r="O12" s="33"/>
      <c r="P12" s="25">
        <v>673.03878736677098</v>
      </c>
      <c r="Q12" s="26">
        <f>0.155729082921051*100</f>
        <v>15.572908292105101</v>
      </c>
      <c r="S12" s="27">
        <v>51.662927448423702</v>
      </c>
      <c r="T12" s="28">
        <f>0.01195387318469 *100</f>
        <v>1.195387318469</v>
      </c>
      <c r="V12" s="92">
        <v>682.36579089551606</v>
      </c>
      <c r="W12" s="39">
        <f>0.1578871839595*100</f>
        <v>15.788718395949999</v>
      </c>
      <c r="Y12" s="25">
        <v>844.98324192233997</v>
      </c>
      <c r="Z12" s="26">
        <f>0.19551394038233*100</f>
        <v>19.551394038232999</v>
      </c>
    </row>
    <row r="13" spans="1:27">
      <c r="A13" s="76" t="s">
        <v>17</v>
      </c>
      <c r="B13" s="114">
        <v>12880.5553637719</v>
      </c>
      <c r="C13" s="77"/>
      <c r="D13" s="44">
        <v>434.097747900375</v>
      </c>
      <c r="E13" s="45">
        <f>0.0337017881326241*100</f>
        <v>3.3701788132624104</v>
      </c>
      <c r="F13" s="78"/>
      <c r="G13" s="44">
        <v>698.042470061877</v>
      </c>
      <c r="H13" s="45">
        <f>0.0541935072167156*100</f>
        <v>5.4193507216715595</v>
      </c>
      <c r="I13" s="77"/>
      <c r="J13" s="46" t="s">
        <v>28</v>
      </c>
      <c r="K13" s="79" t="s">
        <v>28</v>
      </c>
      <c r="L13" s="78"/>
      <c r="M13" s="44">
        <v>1276.08017874811</v>
      </c>
      <c r="N13" s="45">
        <f>0.0990702762970326*100</f>
        <v>9.9070276297032613</v>
      </c>
      <c r="O13" s="78"/>
      <c r="P13" s="44">
        <v>2312.8247174694902</v>
      </c>
      <c r="Q13" s="45">
        <f>0.179559394152723*100</f>
        <v>17.955939415272301</v>
      </c>
      <c r="R13" s="95"/>
      <c r="S13" s="58">
        <v>347.77369274662402</v>
      </c>
      <c r="T13" s="47">
        <f>0.0269998989115624*100</f>
        <v>2.6999898911562399</v>
      </c>
      <c r="U13" s="95"/>
      <c r="V13" s="44">
        <v>6239.3049105200698</v>
      </c>
      <c r="W13" s="45">
        <f>0.484397196728711*100</f>
        <v>48.439719672871099</v>
      </c>
      <c r="X13" s="95"/>
      <c r="Y13" s="44">
        <v>1488.7377038505299</v>
      </c>
      <c r="Z13" s="45">
        <f>0.115580241830083*100</f>
        <v>11.5580241830083</v>
      </c>
    </row>
    <row r="15" spans="1:27">
      <c r="A15" s="48" t="s">
        <v>51</v>
      </c>
    </row>
    <row r="16" spans="1:27" s="120" customFormat="1" ht="15" customHeight="1">
      <c r="A16" s="118" t="s">
        <v>52</v>
      </c>
      <c r="B16" s="119"/>
      <c r="C16" s="119"/>
      <c r="D16" s="119"/>
      <c r="E16" s="119"/>
      <c r="F16" s="119"/>
      <c r="G16" s="119"/>
      <c r="H16" s="119"/>
      <c r="I16" s="119"/>
    </row>
    <row r="17" spans="1:9" s="120" customFormat="1" ht="15" customHeight="1">
      <c r="A17" s="121" t="s">
        <v>62</v>
      </c>
      <c r="B17" s="121"/>
      <c r="C17" s="121"/>
      <c r="D17" s="121"/>
      <c r="E17" s="121"/>
      <c r="F17" s="121"/>
      <c r="G17" s="121"/>
      <c r="H17" s="121"/>
      <c r="I17" s="121"/>
    </row>
    <row r="18" spans="1:9" s="120" customFormat="1" ht="15" customHeight="1">
      <c r="A18" s="121" t="s">
        <v>53</v>
      </c>
      <c r="B18" s="121"/>
      <c r="C18" s="121"/>
      <c r="D18" s="121"/>
      <c r="E18" s="121"/>
      <c r="F18" s="121"/>
      <c r="G18" s="121"/>
      <c r="H18" s="121"/>
      <c r="I18" s="121"/>
    </row>
    <row r="19" spans="1:9" s="120" customFormat="1" ht="15" customHeight="1">
      <c r="A19" s="121" t="s">
        <v>54</v>
      </c>
      <c r="B19" s="121"/>
      <c r="C19" s="121"/>
      <c r="D19" s="121"/>
      <c r="E19" s="121"/>
      <c r="F19" s="121"/>
      <c r="G19" s="121"/>
      <c r="H19" s="121"/>
      <c r="I19" s="121"/>
    </row>
    <row r="20" spans="1:9" s="120" customFormat="1" ht="15" customHeight="1">
      <c r="A20" s="122" t="s">
        <v>55</v>
      </c>
      <c r="B20" s="123"/>
      <c r="C20" s="124"/>
      <c r="D20" s="124"/>
      <c r="E20" s="121"/>
      <c r="F20" s="121"/>
      <c r="G20" s="121"/>
      <c r="H20" s="121"/>
      <c r="I20" s="121"/>
    </row>
    <row r="21" spans="1:9" s="120" customFormat="1" ht="15" customHeight="1">
      <c r="A21" s="125" t="s">
        <v>56</v>
      </c>
      <c r="B21" s="126"/>
      <c r="C21" s="127"/>
      <c r="D21" s="127"/>
      <c r="E21" s="128"/>
      <c r="F21" s="128"/>
      <c r="G21" s="128"/>
      <c r="H21" s="128"/>
      <c r="I21" s="121"/>
    </row>
    <row r="22" spans="1:9" s="120" customFormat="1" ht="15" customHeight="1">
      <c r="A22" s="129" t="s">
        <v>57</v>
      </c>
      <c r="B22" s="130"/>
      <c r="C22" s="131"/>
      <c r="D22" s="131"/>
      <c r="E22" s="132"/>
      <c r="F22" s="132"/>
      <c r="G22" s="132"/>
      <c r="H22" s="132"/>
      <c r="I22" s="121"/>
    </row>
    <row r="23" spans="1:9">
      <c r="A23" s="49"/>
      <c r="B23" s="50"/>
      <c r="C23" s="1"/>
      <c r="D23" s="1"/>
      <c r="E23" s="1"/>
      <c r="F23" s="1"/>
      <c r="G23" s="1"/>
      <c r="H23" s="1"/>
      <c r="I23" s="1"/>
    </row>
    <row r="24" spans="1:9">
      <c r="A24" s="1" t="s">
        <v>18</v>
      </c>
      <c r="B24" s="1"/>
      <c r="C24" s="1"/>
      <c r="D24" s="1"/>
      <c r="E24" s="1"/>
      <c r="F24" s="1"/>
      <c r="G24" s="1"/>
      <c r="H24" s="1"/>
      <c r="I24" s="1"/>
    </row>
    <row r="25" spans="1:9" s="1" customFormat="1" ht="11.25"/>
    <row r="26" spans="1:9" s="1" customFormat="1" ht="11.25"/>
    <row r="27" spans="1:9" s="1" customFormat="1" ht="11.25"/>
    <row r="28" spans="1:9" s="1" customFormat="1" ht="11.25"/>
    <row r="29" spans="1:9" s="1" customFormat="1" ht="11.25"/>
    <row r="30" spans="1:9" s="1" customFormat="1" ht="11.25"/>
    <row r="31" spans="1:9" s="1" customFormat="1" ht="11.25"/>
    <row r="32" spans="1:9" s="1" customFormat="1" ht="11.25"/>
  </sheetData>
  <mergeCells count="11">
    <mergeCell ref="A6:A8"/>
    <mergeCell ref="B6:B8"/>
    <mergeCell ref="D6:Z6"/>
    <mergeCell ref="D7:F7"/>
    <mergeCell ref="G7:H7"/>
    <mergeCell ref="J7:K7"/>
    <mergeCell ref="M7:N7"/>
    <mergeCell ref="P7:Q7"/>
    <mergeCell ref="S7:T7"/>
    <mergeCell ref="V7:W7"/>
    <mergeCell ref="Y7:Z7"/>
  </mergeCells>
  <hyperlinks>
    <hyperlink ref="AA3" location="Index!A1" display="Index" xr:uid="{2781D635-0E7D-46B4-8EF4-D2A6EBA88A75}"/>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32"/>
  <sheetViews>
    <sheetView showGridLines="0" zoomScaleNormal="100" workbookViewId="0"/>
  </sheetViews>
  <sheetFormatPr baseColWidth="10" defaultColWidth="9.140625" defaultRowHeight="15"/>
  <cols>
    <col min="1" max="1" width="54.140625" style="5" customWidth="1"/>
    <col min="2" max="2" width="14.28515625" style="5" customWidth="1"/>
    <col min="3" max="3" width="2.140625" style="5" customWidth="1"/>
    <col min="4" max="5" width="11" style="5" customWidth="1"/>
    <col min="6" max="6" width="1.7109375" style="5" customWidth="1"/>
    <col min="7" max="8" width="11" style="5" customWidth="1"/>
    <col min="9" max="1025" width="11.28515625" style="5" customWidth="1"/>
  </cols>
  <sheetData>
    <row r="1" spans="1:15" s="7" customFormat="1" ht="11.25">
      <c r="A1" s="6" t="s">
        <v>0</v>
      </c>
      <c r="B1" s="6"/>
      <c r="C1" s="6"/>
      <c r="D1" s="6"/>
    </row>
    <row r="2" spans="1:15" s="7" customFormat="1" ht="11.25">
      <c r="A2" s="6"/>
      <c r="B2" s="6"/>
      <c r="C2" s="6"/>
      <c r="D2" s="6"/>
    </row>
    <row r="3" spans="1:15">
      <c r="A3" s="8" t="s">
        <v>39</v>
      </c>
      <c r="B3" s="8"/>
      <c r="C3" s="8"/>
      <c r="H3" s="5" t="s">
        <v>40</v>
      </c>
      <c r="I3" s="10" t="s">
        <v>3</v>
      </c>
    </row>
    <row r="4" spans="1:15">
      <c r="A4" s="8" t="s">
        <v>81</v>
      </c>
      <c r="B4" s="8"/>
      <c r="C4" s="8"/>
      <c r="J4" s="9"/>
      <c r="K4" s="10"/>
    </row>
    <row r="5" spans="1:15">
      <c r="A5" s="8" t="s">
        <v>4</v>
      </c>
      <c r="B5" s="8"/>
      <c r="C5" s="8"/>
      <c r="D5" s="8"/>
    </row>
    <row r="6" spans="1:15">
      <c r="A6" s="81"/>
      <c r="B6" s="81"/>
      <c r="C6" s="81"/>
      <c r="D6" s="81"/>
      <c r="E6" s="81"/>
      <c r="F6" s="81"/>
      <c r="G6" s="81"/>
      <c r="H6" s="81"/>
    </row>
    <row r="7" spans="1:15" s="9" customFormat="1" ht="23.45" customHeight="1">
      <c r="A7" s="146" t="s">
        <v>5</v>
      </c>
      <c r="B7" s="140" t="s">
        <v>6</v>
      </c>
      <c r="C7" s="12"/>
      <c r="D7" s="147" t="s">
        <v>82</v>
      </c>
      <c r="E7" s="147"/>
      <c r="F7" s="147"/>
      <c r="G7" s="147"/>
      <c r="H7" s="147"/>
    </row>
    <row r="8" spans="1:15" ht="9.9499999999999993" customHeight="1">
      <c r="A8" s="146"/>
      <c r="B8" s="140"/>
      <c r="C8" s="82"/>
      <c r="D8" s="136" t="s">
        <v>41</v>
      </c>
      <c r="E8" s="136"/>
      <c r="F8" s="136"/>
      <c r="G8" s="136" t="s">
        <v>42</v>
      </c>
      <c r="H8" s="136"/>
    </row>
    <row r="9" spans="1:15">
      <c r="A9" s="146"/>
      <c r="B9" s="140"/>
      <c r="C9" s="83"/>
      <c r="D9" s="62" t="s">
        <v>11</v>
      </c>
      <c r="E9" s="13" t="s">
        <v>12</v>
      </c>
      <c r="F9" s="13"/>
      <c r="G9" s="13" t="s">
        <v>11</v>
      </c>
      <c r="H9" s="13" t="s">
        <v>12</v>
      </c>
    </row>
    <row r="10" spans="1:15">
      <c r="A10" s="84"/>
      <c r="B10" s="85"/>
      <c r="C10" s="85"/>
      <c r="D10" s="15"/>
      <c r="E10" s="15"/>
      <c r="F10" s="15"/>
      <c r="G10" s="15"/>
      <c r="H10" s="15"/>
    </row>
    <row r="11" spans="1:15">
      <c r="A11" s="8" t="s">
        <v>13</v>
      </c>
      <c r="B11" s="112">
        <v>20589.613110413098</v>
      </c>
      <c r="C11" s="15"/>
      <c r="D11" s="89">
        <v>6866.6865856076502</v>
      </c>
      <c r="E11" s="90">
        <f>0.333502458195043*100</f>
        <v>33.350245819504295</v>
      </c>
      <c r="F11" s="15"/>
      <c r="G11" s="89">
        <v>10284.1481410538</v>
      </c>
      <c r="H11" s="90">
        <f>0.499482340241381*100</f>
        <v>49.948234024138102</v>
      </c>
      <c r="I11" s="15"/>
      <c r="J11" s="96"/>
      <c r="K11" s="21"/>
      <c r="L11" s="21"/>
      <c r="M11" s="96"/>
      <c r="N11" s="21"/>
    </row>
    <row r="12" spans="1:15">
      <c r="A12" s="22" t="s">
        <v>14</v>
      </c>
      <c r="B12" s="113">
        <v>743.47942771533906</v>
      </c>
      <c r="C12" s="24"/>
      <c r="D12" s="91">
        <v>234.103510806711</v>
      </c>
      <c r="E12" s="30">
        <f>0.314875572988072*100</f>
        <v>31.4875572988072</v>
      </c>
      <c r="F12" s="24"/>
      <c r="G12" s="91">
        <v>200.32300118579599</v>
      </c>
      <c r="H12" s="30">
        <f>0.269439871122426*100</f>
        <v>26.943987112242603</v>
      </c>
      <c r="I12" s="24"/>
      <c r="J12" s="24"/>
      <c r="K12" s="29"/>
      <c r="L12" s="29"/>
      <c r="M12" s="24"/>
      <c r="N12" s="29"/>
      <c r="O12" s="31"/>
    </row>
    <row r="13" spans="1:15">
      <c r="A13" s="22" t="s">
        <v>16</v>
      </c>
      <c r="B13" s="113">
        <v>5093.2446367570201</v>
      </c>
      <c r="C13" s="24"/>
      <c r="D13" s="72">
        <v>2303.0314058054</v>
      </c>
      <c r="E13" s="73">
        <f>0.452173726191128*100</f>
        <v>45.217372619112801</v>
      </c>
      <c r="F13" s="24"/>
      <c r="G13" s="72">
        <v>2023.1948819152401</v>
      </c>
      <c r="H13" s="73">
        <f>0.39723104351089*100</f>
        <v>39.723104351088999</v>
      </c>
      <c r="I13" s="24"/>
      <c r="J13" s="24"/>
      <c r="K13" s="29"/>
      <c r="L13" s="29"/>
      <c r="M13" s="24"/>
      <c r="N13" s="29"/>
      <c r="O13" s="31"/>
    </row>
    <row r="14" spans="1:15">
      <c r="A14" s="40" t="s">
        <v>17</v>
      </c>
      <c r="B14" s="114">
        <v>14752.889045940699</v>
      </c>
      <c r="C14" s="42"/>
      <c r="D14" s="41">
        <v>4329.5516689955402</v>
      </c>
      <c r="E14" s="43">
        <f>0.29347144518699*100</f>
        <v>29.347144518698997</v>
      </c>
      <c r="F14" s="42"/>
      <c r="G14" s="41">
        <v>8060.6302579527301</v>
      </c>
      <c r="H14" s="43">
        <f>0.546376389929579*100</f>
        <v>54.637638992957903</v>
      </c>
      <c r="I14" s="37"/>
      <c r="J14" s="37"/>
      <c r="K14" s="29"/>
      <c r="L14" s="29"/>
      <c r="M14" s="37"/>
      <c r="N14" s="29"/>
      <c r="O14" s="31"/>
    </row>
    <row r="16" spans="1:15" s="120" customFormat="1" ht="15" customHeight="1">
      <c r="A16" s="118" t="s">
        <v>52</v>
      </c>
      <c r="B16" s="119"/>
      <c r="C16" s="119"/>
      <c r="D16" s="119"/>
      <c r="E16" s="119"/>
      <c r="F16" s="119"/>
      <c r="G16" s="119"/>
      <c r="H16" s="119"/>
      <c r="I16" s="119"/>
    </row>
    <row r="17" spans="1:9" s="120" customFormat="1" ht="15" customHeight="1">
      <c r="A17" s="121" t="s">
        <v>62</v>
      </c>
      <c r="B17" s="121"/>
      <c r="C17" s="121"/>
      <c r="D17" s="121"/>
      <c r="E17" s="121"/>
      <c r="F17" s="121"/>
      <c r="G17" s="121"/>
      <c r="H17" s="121"/>
      <c r="I17" s="121"/>
    </row>
    <row r="18" spans="1:9" s="120" customFormat="1" ht="15" customHeight="1">
      <c r="A18" s="121" t="s">
        <v>53</v>
      </c>
      <c r="B18" s="121"/>
      <c r="C18" s="121"/>
      <c r="D18" s="121"/>
      <c r="E18" s="121"/>
      <c r="F18" s="121"/>
      <c r="G18" s="121"/>
      <c r="H18" s="121"/>
      <c r="I18" s="121"/>
    </row>
    <row r="19" spans="1:9" s="120" customFormat="1" ht="15" customHeight="1">
      <c r="A19" s="121" t="s">
        <v>54</v>
      </c>
      <c r="B19" s="121"/>
      <c r="C19" s="121"/>
      <c r="D19" s="121"/>
      <c r="E19" s="121"/>
      <c r="F19" s="121"/>
      <c r="G19" s="121"/>
      <c r="H19" s="121"/>
      <c r="I19" s="121"/>
    </row>
    <row r="20" spans="1:9" s="120" customFormat="1" ht="15" customHeight="1">
      <c r="A20" s="122" t="s">
        <v>55</v>
      </c>
      <c r="B20" s="123"/>
      <c r="C20" s="124"/>
      <c r="D20" s="124"/>
      <c r="E20" s="121"/>
      <c r="F20" s="121"/>
      <c r="G20" s="121"/>
      <c r="H20" s="121"/>
      <c r="I20" s="121"/>
    </row>
    <row r="21" spans="1:9" s="120" customFormat="1" ht="15" customHeight="1">
      <c r="A21" s="125" t="s">
        <v>56</v>
      </c>
      <c r="B21" s="126"/>
      <c r="C21" s="127"/>
      <c r="D21" s="127"/>
      <c r="E21" s="128"/>
      <c r="F21" s="128"/>
      <c r="G21" s="128"/>
      <c r="H21" s="128"/>
      <c r="I21" s="121"/>
    </row>
    <row r="22" spans="1:9" s="120" customFormat="1" ht="15" customHeight="1">
      <c r="A22" s="129" t="s">
        <v>57</v>
      </c>
      <c r="B22" s="130"/>
      <c r="C22" s="131"/>
      <c r="D22" s="131"/>
      <c r="E22" s="132"/>
      <c r="F22" s="132"/>
      <c r="G22" s="132"/>
      <c r="H22" s="132"/>
      <c r="I22" s="121"/>
    </row>
    <row r="23" spans="1:9">
      <c r="A23" s="49"/>
      <c r="B23" s="50"/>
      <c r="C23" s="1"/>
      <c r="D23" s="1"/>
      <c r="E23" s="1"/>
      <c r="F23" s="1"/>
      <c r="G23" s="1"/>
      <c r="H23" s="1"/>
      <c r="I23" s="1"/>
    </row>
    <row r="24" spans="1:9">
      <c r="A24" s="1" t="s">
        <v>18</v>
      </c>
      <c r="B24" s="1"/>
      <c r="C24" s="1"/>
      <c r="D24" s="1"/>
      <c r="E24" s="1"/>
      <c r="F24" s="1"/>
      <c r="G24" s="1"/>
      <c r="H24" s="1"/>
      <c r="I24" s="1"/>
    </row>
    <row r="25" spans="1:9" s="1" customFormat="1" ht="11.25"/>
    <row r="26" spans="1:9" s="1" customFormat="1" ht="11.25"/>
    <row r="27" spans="1:9" s="1" customFormat="1" ht="11.25"/>
    <row r="28" spans="1:9" s="1" customFormat="1" ht="11.25"/>
    <row r="29" spans="1:9" s="1" customFormat="1" ht="11.25"/>
    <row r="30" spans="1:9" s="1" customFormat="1" ht="11.25"/>
    <row r="31" spans="1:9" s="1" customFormat="1" ht="11.25"/>
    <row r="32" spans="1:9" s="1" customFormat="1" ht="11.25"/>
  </sheetData>
  <mergeCells count="5">
    <mergeCell ref="A7:A9"/>
    <mergeCell ref="B7:B9"/>
    <mergeCell ref="D7:H7"/>
    <mergeCell ref="D8:F8"/>
    <mergeCell ref="G8:H8"/>
  </mergeCells>
  <hyperlinks>
    <hyperlink ref="I3" location="Index!A1" display="Index" xr:uid="{D585C2D3-6917-4F01-BCF7-7AE2E6A822D3}"/>
  </hyperlinks>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31"/>
  <sheetViews>
    <sheetView showGridLines="0" zoomScaleNormal="100" workbookViewId="0"/>
  </sheetViews>
  <sheetFormatPr baseColWidth="10" defaultColWidth="9.140625" defaultRowHeight="15"/>
  <cols>
    <col min="1" max="1" width="53" style="5" customWidth="1"/>
    <col min="2" max="2" width="14.85546875" style="5" customWidth="1"/>
    <col min="3" max="3" width="1.7109375" style="5" customWidth="1"/>
    <col min="4" max="5" width="11.42578125" style="5"/>
    <col min="6" max="6" width="1.7109375" style="5" customWidth="1"/>
    <col min="7" max="8" width="11.42578125" style="5"/>
    <col min="9" max="1025" width="11.28515625" style="5" customWidth="1"/>
  </cols>
  <sheetData>
    <row r="1" spans="1:17" s="7" customFormat="1" ht="11.25">
      <c r="A1" s="6" t="s">
        <v>0</v>
      </c>
      <c r="B1" s="6"/>
      <c r="C1" s="6"/>
      <c r="D1" s="6"/>
    </row>
    <row r="2" spans="1:17" s="7" customFormat="1" ht="11.25">
      <c r="A2" s="6"/>
      <c r="B2" s="6"/>
      <c r="C2" s="6"/>
      <c r="D2" s="6"/>
    </row>
    <row r="3" spans="1:17">
      <c r="A3" s="8" t="s">
        <v>44</v>
      </c>
      <c r="B3" s="8"/>
      <c r="C3" s="8"/>
      <c r="H3" s="9" t="s">
        <v>43</v>
      </c>
      <c r="I3" s="10" t="s">
        <v>3</v>
      </c>
    </row>
    <row r="4" spans="1:17">
      <c r="A4" s="8" t="s">
        <v>83</v>
      </c>
      <c r="B4" s="8"/>
      <c r="C4" s="8"/>
      <c r="J4" s="9"/>
      <c r="K4" s="10"/>
    </row>
    <row r="5" spans="1:17">
      <c r="A5" s="8" t="s">
        <v>4</v>
      </c>
      <c r="B5" s="8"/>
      <c r="C5" s="8"/>
      <c r="D5" s="8"/>
    </row>
    <row r="6" spans="1:17">
      <c r="A6" s="81"/>
      <c r="B6" s="81"/>
      <c r="C6" s="81"/>
      <c r="D6" s="81"/>
      <c r="E6" s="81"/>
      <c r="F6" s="81"/>
      <c r="G6" s="81"/>
      <c r="H6" s="81"/>
    </row>
    <row r="7" spans="1:17" s="9" customFormat="1" ht="24" customHeight="1">
      <c r="A7" s="148" t="s">
        <v>46</v>
      </c>
      <c r="B7" s="140" t="s">
        <v>6</v>
      </c>
      <c r="C7" s="12"/>
      <c r="D7" s="147" t="s">
        <v>84</v>
      </c>
      <c r="E7" s="147"/>
      <c r="F7" s="147"/>
      <c r="G7" s="147"/>
      <c r="H7" s="147"/>
    </row>
    <row r="8" spans="1:17" ht="15.75" customHeight="1">
      <c r="A8" s="148"/>
      <c r="B8" s="140"/>
      <c r="C8" s="82"/>
      <c r="D8" s="136" t="s">
        <v>41</v>
      </c>
      <c r="E8" s="136"/>
      <c r="F8" s="136"/>
      <c r="G8" s="136" t="s">
        <v>42</v>
      </c>
      <c r="H8" s="136"/>
    </row>
    <row r="9" spans="1:17">
      <c r="A9" s="148"/>
      <c r="B9" s="140"/>
      <c r="C9" s="83"/>
      <c r="D9" s="62" t="s">
        <v>11</v>
      </c>
      <c r="E9" s="13" t="s">
        <v>12</v>
      </c>
      <c r="F9" s="13"/>
      <c r="G9" s="13" t="s">
        <v>11</v>
      </c>
      <c r="H9" s="13" t="s">
        <v>12</v>
      </c>
    </row>
    <row r="10" spans="1:17">
      <c r="A10" s="84"/>
      <c r="B10" s="85"/>
      <c r="C10" s="85"/>
      <c r="D10" s="15"/>
      <c r="E10" s="15"/>
      <c r="F10" s="15"/>
      <c r="G10" s="15"/>
      <c r="H10" s="15"/>
    </row>
    <row r="11" spans="1:17" s="1" customFormat="1" ht="11.25">
      <c r="A11" s="51" t="s">
        <v>20</v>
      </c>
      <c r="B11" s="112">
        <v>20589.613110413098</v>
      </c>
      <c r="C11" s="52"/>
      <c r="D11" s="89">
        <v>6352.3045646419696</v>
      </c>
      <c r="E11" s="90">
        <f>0.308519860503319*100</f>
        <v>30.851986050331899</v>
      </c>
      <c r="F11" s="15"/>
      <c r="G11" s="89">
        <v>12503.033972935</v>
      </c>
      <c r="H11" s="90">
        <f>0.607249582878837*100</f>
        <v>60.724958287883702</v>
      </c>
      <c r="I11" s="7"/>
      <c r="J11" s="7"/>
      <c r="K11" s="7"/>
      <c r="L11" s="7"/>
      <c r="M11" s="7"/>
      <c r="N11" s="7"/>
      <c r="O11" s="52"/>
      <c r="P11" s="15"/>
      <c r="Q11" s="15"/>
    </row>
    <row r="12" spans="1:17">
      <c r="A12" s="53" t="s">
        <v>21</v>
      </c>
      <c r="B12" s="113">
        <v>11716.439903415199</v>
      </c>
      <c r="C12" s="54"/>
      <c r="D12" s="72">
        <v>3938.0934488247599</v>
      </c>
      <c r="E12" s="73">
        <f>0.336116899099773*100</f>
        <v>33.611689909977301</v>
      </c>
      <c r="F12" s="54"/>
      <c r="G12" s="97">
        <v>6939.4256392220996</v>
      </c>
      <c r="H12" s="98">
        <f>0.59228107654095*100</f>
        <v>59.228107654094998</v>
      </c>
      <c r="I12" s="52"/>
      <c r="J12" s="52"/>
      <c r="K12" s="52"/>
      <c r="L12" s="52"/>
      <c r="M12" s="52"/>
      <c r="N12" s="52"/>
      <c r="O12" s="52"/>
      <c r="P12" s="52"/>
      <c r="Q12" s="52"/>
    </row>
    <row r="13" spans="1:17" s="52" customFormat="1" ht="11.25">
      <c r="A13" s="55" t="s">
        <v>22</v>
      </c>
      <c r="B13" s="114">
        <v>8873.1732069979007</v>
      </c>
      <c r="C13" s="56"/>
      <c r="D13" s="44">
        <v>2414.2111158172102</v>
      </c>
      <c r="E13" s="45">
        <f>0.272079791467749*100</f>
        <v>27.207979146774903</v>
      </c>
      <c r="F13" s="56"/>
      <c r="G13" s="41">
        <v>5563.6083337129003</v>
      </c>
      <c r="H13" s="43">
        <f>0.627014508104622*100</f>
        <v>62.701450810462198</v>
      </c>
      <c r="K13" s="98"/>
    </row>
    <row r="14" spans="1:17" s="1" customFormat="1" ht="11.25"/>
    <row r="15" spans="1:17" s="120" customFormat="1" ht="15" customHeight="1">
      <c r="A15" s="118" t="s">
        <v>52</v>
      </c>
      <c r="B15" s="119"/>
      <c r="C15" s="119"/>
      <c r="D15" s="119"/>
      <c r="E15" s="119"/>
      <c r="F15" s="119"/>
      <c r="G15" s="119"/>
      <c r="H15" s="119"/>
      <c r="I15" s="119"/>
    </row>
    <row r="16" spans="1:17" s="120" customFormat="1" ht="15" customHeight="1">
      <c r="A16" s="121" t="s">
        <v>62</v>
      </c>
      <c r="B16" s="121"/>
      <c r="C16" s="121"/>
      <c r="D16" s="121"/>
      <c r="E16" s="121"/>
      <c r="F16" s="121"/>
      <c r="G16" s="121"/>
      <c r="H16" s="121"/>
      <c r="I16" s="121"/>
    </row>
    <row r="17" spans="1:9" s="120" customFormat="1" ht="15" customHeight="1">
      <c r="A17" s="121" t="s">
        <v>53</v>
      </c>
      <c r="B17" s="121"/>
      <c r="C17" s="121"/>
      <c r="D17" s="121"/>
      <c r="E17" s="121"/>
      <c r="F17" s="121"/>
      <c r="G17" s="121"/>
      <c r="H17" s="121"/>
      <c r="I17" s="121"/>
    </row>
    <row r="18" spans="1:9" s="120" customFormat="1" ht="15" customHeight="1">
      <c r="A18" s="121" t="s">
        <v>54</v>
      </c>
      <c r="B18" s="121"/>
      <c r="C18" s="121"/>
      <c r="D18" s="121"/>
      <c r="E18" s="121"/>
      <c r="F18" s="121"/>
      <c r="G18" s="121"/>
      <c r="H18" s="121"/>
      <c r="I18" s="121"/>
    </row>
    <row r="19" spans="1:9" s="120" customFormat="1" ht="15" customHeight="1">
      <c r="A19" s="122" t="s">
        <v>55</v>
      </c>
      <c r="B19" s="123"/>
      <c r="C19" s="124"/>
      <c r="D19" s="124"/>
      <c r="E19" s="121"/>
      <c r="F19" s="121"/>
      <c r="G19" s="121"/>
      <c r="H19" s="121"/>
      <c r="I19" s="121"/>
    </row>
    <row r="20" spans="1:9" s="120" customFormat="1" ht="15" customHeight="1">
      <c r="A20" s="125" t="s">
        <v>56</v>
      </c>
      <c r="B20" s="126"/>
      <c r="C20" s="127"/>
      <c r="D20" s="127"/>
      <c r="E20" s="128"/>
      <c r="F20" s="128"/>
      <c r="G20" s="128"/>
      <c r="H20" s="128"/>
      <c r="I20" s="121"/>
    </row>
    <row r="21" spans="1:9" s="120" customFormat="1" ht="15" customHeight="1">
      <c r="A21" s="129" t="s">
        <v>57</v>
      </c>
      <c r="B21" s="130"/>
      <c r="C21" s="131"/>
      <c r="D21" s="131"/>
      <c r="E21" s="132"/>
      <c r="F21" s="132"/>
      <c r="G21" s="132"/>
      <c r="H21" s="132"/>
      <c r="I21" s="121"/>
    </row>
    <row r="22" spans="1:9">
      <c r="A22" s="49"/>
      <c r="B22" s="50"/>
      <c r="C22" s="1"/>
      <c r="D22" s="1"/>
      <c r="E22" s="1"/>
      <c r="F22" s="1"/>
      <c r="G22" s="1"/>
      <c r="H22" s="1"/>
      <c r="I22" s="1"/>
    </row>
    <row r="23" spans="1:9">
      <c r="A23" s="1" t="s">
        <v>18</v>
      </c>
      <c r="B23" s="1"/>
      <c r="C23" s="1"/>
      <c r="D23" s="1"/>
      <c r="E23" s="1"/>
      <c r="F23" s="1"/>
      <c r="G23" s="1"/>
      <c r="H23" s="1"/>
      <c r="I23" s="1"/>
    </row>
    <row r="24" spans="1:9" s="1" customFormat="1" ht="11.25"/>
    <row r="25" spans="1:9" s="1" customFormat="1" ht="11.25"/>
    <row r="26" spans="1:9" s="1" customFormat="1" ht="11.25"/>
    <row r="27" spans="1:9" s="1" customFormat="1" ht="11.25"/>
    <row r="28" spans="1:9" s="1" customFormat="1" ht="11.25"/>
    <row r="29" spans="1:9" s="1" customFormat="1" ht="11.25"/>
    <row r="30" spans="1:9" s="1" customFormat="1" ht="11.25"/>
    <row r="31" spans="1:9" s="1" customFormat="1" ht="11.25"/>
  </sheetData>
  <mergeCells count="5">
    <mergeCell ref="A7:A9"/>
    <mergeCell ref="B7:B9"/>
    <mergeCell ref="D7:H7"/>
    <mergeCell ref="D8:F8"/>
    <mergeCell ref="G8:H8"/>
  </mergeCells>
  <hyperlinks>
    <hyperlink ref="I3" location="Index!A1" display="Index" xr:uid="{20056217-FA6F-45A0-9FB5-6E555A6602D2}"/>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5"/>
  <sheetViews>
    <sheetView showGridLines="0" zoomScaleNormal="100" workbookViewId="0"/>
  </sheetViews>
  <sheetFormatPr baseColWidth="10" defaultColWidth="9.140625" defaultRowHeight="15"/>
  <cols>
    <col min="1" max="1" width="24.7109375" style="1" customWidth="1"/>
    <col min="2" max="2" width="17.7109375" style="1" customWidth="1"/>
    <col min="3" max="3" width="5.42578125" style="1" customWidth="1"/>
    <col min="4" max="4" width="8.140625" style="1" customWidth="1"/>
    <col min="5" max="5" width="9.85546875" style="1" customWidth="1"/>
    <col min="6" max="6" width="3.140625" style="1" customWidth="1"/>
    <col min="7" max="8" width="10.5703125" style="1" customWidth="1"/>
    <col min="9" max="9" width="2.28515625" style="1" customWidth="1"/>
    <col min="10" max="11" width="12.42578125" style="1" customWidth="1"/>
    <col min="12" max="12" width="2.7109375" style="1" customWidth="1"/>
    <col min="13" max="1025" width="10.5703125" style="1" customWidth="1"/>
  </cols>
  <sheetData>
    <row r="1" spans="1:15">
      <c r="A1" s="6" t="s">
        <v>0</v>
      </c>
      <c r="B1" s="2"/>
      <c r="C1" s="2"/>
    </row>
    <row r="2" spans="1:15">
      <c r="A2" s="2"/>
      <c r="B2" s="2"/>
      <c r="C2" s="2"/>
    </row>
    <row r="3" spans="1:15" ht="14.25" customHeight="1">
      <c r="A3" s="2" t="s">
        <v>63</v>
      </c>
      <c r="N3" s="1" t="s">
        <v>45</v>
      </c>
      <c r="O3" s="10" t="s">
        <v>3</v>
      </c>
    </row>
    <row r="4" spans="1:15" ht="14.25" customHeight="1">
      <c r="A4" s="2" t="s">
        <v>85</v>
      </c>
      <c r="O4" s="10"/>
    </row>
    <row r="5" spans="1:15" ht="14.25" customHeight="1">
      <c r="A5" s="2" t="s">
        <v>4</v>
      </c>
    </row>
    <row r="7" spans="1:15" ht="20.25" customHeight="1">
      <c r="A7" s="141" t="s">
        <v>5</v>
      </c>
      <c r="B7" s="142" t="s">
        <v>86</v>
      </c>
      <c r="C7" s="60"/>
      <c r="D7" s="142" t="s">
        <v>60</v>
      </c>
      <c r="E7" s="142"/>
      <c r="F7" s="142"/>
      <c r="G7" s="142"/>
      <c r="H7" s="142"/>
      <c r="I7" s="142"/>
      <c r="J7" s="142"/>
      <c r="K7" s="142"/>
      <c r="L7" s="142"/>
      <c r="M7" s="142"/>
      <c r="N7" s="142"/>
    </row>
    <row r="8" spans="1:15" ht="93" customHeight="1">
      <c r="A8" s="141"/>
      <c r="B8" s="142"/>
      <c r="C8" s="61"/>
      <c r="D8" s="145" t="s">
        <v>47</v>
      </c>
      <c r="E8" s="145"/>
      <c r="F8" s="64"/>
      <c r="G8" s="145" t="s">
        <v>64</v>
      </c>
      <c r="H8" s="145"/>
      <c r="I8" s="52"/>
      <c r="J8" s="145" t="s">
        <v>48</v>
      </c>
      <c r="K8" s="145"/>
      <c r="L8" s="64"/>
      <c r="M8" s="145" t="s">
        <v>27</v>
      </c>
      <c r="N8" s="145"/>
    </row>
    <row r="9" spans="1:15">
      <c r="A9" s="141"/>
      <c r="B9" s="142"/>
      <c r="C9" s="63"/>
      <c r="D9" s="62" t="s">
        <v>11</v>
      </c>
      <c r="E9" s="13" t="s">
        <v>12</v>
      </c>
      <c r="F9" s="62"/>
      <c r="G9" s="62" t="s">
        <v>11</v>
      </c>
      <c r="H9" s="13" t="s">
        <v>12</v>
      </c>
      <c r="I9" s="52"/>
      <c r="J9" s="62" t="s">
        <v>11</v>
      </c>
      <c r="K9" s="13" t="s">
        <v>12</v>
      </c>
      <c r="L9" s="62"/>
      <c r="M9" s="62" t="s">
        <v>11</v>
      </c>
      <c r="N9" s="13" t="s">
        <v>12</v>
      </c>
    </row>
    <row r="10" spans="1:15">
      <c r="A10" s="52"/>
      <c r="B10" s="52"/>
      <c r="C10" s="52"/>
      <c r="D10" s="64"/>
      <c r="E10" s="64"/>
      <c r="F10" s="64"/>
      <c r="G10" s="64"/>
    </row>
    <row r="11" spans="1:15" s="5" customFormat="1" ht="11.25">
      <c r="A11" s="8" t="s">
        <v>13</v>
      </c>
      <c r="B11" s="112">
        <v>6352.3045646419696</v>
      </c>
      <c r="C11" s="99"/>
      <c r="D11" s="69">
        <v>2205.5960470423802</v>
      </c>
      <c r="E11" s="70">
        <f>0.347211948765666*100</f>
        <v>34.721194876566599</v>
      </c>
      <c r="F11" s="100"/>
      <c r="G11" s="66">
        <v>2840.4940072597601</v>
      </c>
      <c r="H11" s="67">
        <f>0.447159606148365*100</f>
        <v>44.715960614836497</v>
      </c>
      <c r="J11" s="66">
        <v>942.90419851919899</v>
      </c>
      <c r="K11" s="67">
        <f>0.148434979608435*100</f>
        <v>14.8434979608435</v>
      </c>
      <c r="M11" s="66">
        <v>612.58393675578498</v>
      </c>
      <c r="N11" s="67">
        <f>0.0964349127977166*100</f>
        <v>9.6434912797716592</v>
      </c>
    </row>
    <row r="12" spans="1:15" s="35" customFormat="1" ht="11.25">
      <c r="A12" s="71" t="s">
        <v>14</v>
      </c>
      <c r="B12" s="113">
        <v>158.15900744218399</v>
      </c>
      <c r="C12" s="32"/>
      <c r="D12" s="27">
        <v>34.8724760311732</v>
      </c>
      <c r="E12" s="28">
        <f>0.220489977745472 *100</f>
        <v>22.0489977745472</v>
      </c>
      <c r="F12" s="33"/>
      <c r="G12" s="91">
        <v>123.286531411011</v>
      </c>
      <c r="H12" s="30">
        <f>0.779510022254527*100</f>
        <v>77.951002225452697</v>
      </c>
      <c r="I12" s="32"/>
      <c r="J12" s="116">
        <v>0</v>
      </c>
      <c r="K12" s="117">
        <v>0</v>
      </c>
      <c r="L12" s="103"/>
      <c r="M12" s="116">
        <v>0</v>
      </c>
      <c r="N12" s="117">
        <v>0</v>
      </c>
    </row>
    <row r="13" spans="1:15">
      <c r="A13" s="71" t="s">
        <v>16</v>
      </c>
      <c r="B13" s="113">
        <v>1808.5953843191601</v>
      </c>
      <c r="C13" s="32"/>
      <c r="D13" s="91">
        <v>73.619671617490994</v>
      </c>
      <c r="E13" s="30">
        <f>0.0407054403963356*100</f>
        <v>4.0705440396335595</v>
      </c>
      <c r="F13" s="33"/>
      <c r="G13" s="72">
        <v>1057.7896333937499</v>
      </c>
      <c r="H13" s="73">
        <f>0.584868037685473*100</f>
        <v>58.486803768547304</v>
      </c>
      <c r="I13" s="32"/>
      <c r="J13" s="91">
        <v>582.39383292732202</v>
      </c>
      <c r="K13" s="30">
        <f>0.322014441691481*100</f>
        <v>32.201444169148104</v>
      </c>
      <c r="L13" s="33"/>
      <c r="M13" s="91">
        <v>253.65574828101001</v>
      </c>
      <c r="N13" s="30">
        <f>0.140250135812714*100</f>
        <v>14.0250135812714</v>
      </c>
    </row>
    <row r="14" spans="1:15">
      <c r="A14" s="76" t="s">
        <v>17</v>
      </c>
      <c r="B14" s="114">
        <v>4385.5501728806203</v>
      </c>
      <c r="C14" s="77"/>
      <c r="D14" s="58">
        <v>2097.10389939371</v>
      </c>
      <c r="E14" s="47">
        <f>0.478184906505411*100</f>
        <v>47.818490650541101</v>
      </c>
      <c r="F14" s="78"/>
      <c r="G14" s="44">
        <v>1659.417842455</v>
      </c>
      <c r="H14" s="45">
        <f>0.378383048201458*100</f>
        <v>37.838304820145801</v>
      </c>
      <c r="I14" s="77"/>
      <c r="J14" s="58">
        <v>360.51036559187799</v>
      </c>
      <c r="K14" s="47">
        <f>0.0822041366260503*100</f>
        <v>8.220413662605031</v>
      </c>
      <c r="L14" s="78"/>
      <c r="M14" s="58">
        <v>358.92818847477503</v>
      </c>
      <c r="N14" s="47">
        <f>0.0818433661286824*100</f>
        <v>8.1843366128682398</v>
      </c>
    </row>
    <row r="16" spans="1:15">
      <c r="A16" s="134" t="s">
        <v>61</v>
      </c>
    </row>
    <row r="17" spans="1:9" s="120" customFormat="1" ht="15" customHeight="1">
      <c r="A17" s="118" t="s">
        <v>52</v>
      </c>
      <c r="B17" s="119"/>
      <c r="C17" s="119"/>
      <c r="D17" s="119"/>
      <c r="E17" s="119"/>
      <c r="F17" s="119"/>
      <c r="G17" s="119"/>
      <c r="H17" s="119"/>
      <c r="I17" s="119"/>
    </row>
    <row r="18" spans="1:9" s="120" customFormat="1" ht="15" customHeight="1">
      <c r="A18" s="121" t="s">
        <v>62</v>
      </c>
      <c r="B18" s="121"/>
      <c r="C18" s="121"/>
      <c r="D18" s="121"/>
      <c r="E18" s="121"/>
      <c r="F18" s="121"/>
      <c r="G18" s="121"/>
      <c r="H18" s="121"/>
      <c r="I18" s="121"/>
    </row>
    <row r="19" spans="1:9" s="120" customFormat="1" ht="15" customHeight="1">
      <c r="A19" s="121" t="s">
        <v>53</v>
      </c>
      <c r="B19" s="121"/>
      <c r="C19" s="121"/>
      <c r="D19" s="121"/>
      <c r="E19" s="121"/>
      <c r="F19" s="121"/>
      <c r="G19" s="121"/>
      <c r="H19" s="121"/>
      <c r="I19" s="121"/>
    </row>
    <row r="20" spans="1:9" s="120" customFormat="1" ht="15" customHeight="1">
      <c r="A20" s="121" t="s">
        <v>54</v>
      </c>
      <c r="B20" s="121"/>
      <c r="C20" s="121"/>
      <c r="D20" s="121"/>
      <c r="E20" s="121"/>
      <c r="F20" s="121"/>
      <c r="G20" s="121"/>
      <c r="H20" s="121"/>
      <c r="I20" s="121"/>
    </row>
    <row r="21" spans="1:9" s="120" customFormat="1" ht="15" customHeight="1">
      <c r="A21" s="122" t="s">
        <v>55</v>
      </c>
      <c r="B21" s="123"/>
      <c r="C21" s="124"/>
      <c r="D21" s="124"/>
      <c r="E21" s="121"/>
      <c r="F21" s="121"/>
      <c r="G21" s="121"/>
      <c r="H21" s="121"/>
      <c r="I21" s="121"/>
    </row>
    <row r="22" spans="1:9" s="120" customFormat="1" ht="15" customHeight="1">
      <c r="A22" s="125" t="s">
        <v>56</v>
      </c>
      <c r="B22" s="126"/>
      <c r="C22" s="127"/>
      <c r="D22" s="124"/>
      <c r="E22" s="121"/>
      <c r="F22" s="121"/>
      <c r="G22" s="121"/>
      <c r="H22" s="121"/>
      <c r="I22" s="121"/>
    </row>
    <row r="23" spans="1:9" s="120" customFormat="1" ht="15" customHeight="1">
      <c r="A23" s="129" t="s">
        <v>57</v>
      </c>
      <c r="B23" s="130"/>
      <c r="C23" s="131"/>
      <c r="D23" s="124"/>
      <c r="E23" s="121"/>
      <c r="F23" s="121"/>
      <c r="G23" s="121"/>
      <c r="H23" s="121"/>
      <c r="I23" s="121"/>
    </row>
    <row r="24" spans="1:9">
      <c r="A24" s="49"/>
      <c r="B24" s="50"/>
      <c r="C24" s="50"/>
    </row>
    <row r="25" spans="1:9">
      <c r="A25" s="1" t="s">
        <v>18</v>
      </c>
    </row>
  </sheetData>
  <mergeCells count="7">
    <mergeCell ref="A7:A9"/>
    <mergeCell ref="B7:B9"/>
    <mergeCell ref="D7:N7"/>
    <mergeCell ref="D8:E8"/>
    <mergeCell ref="G8:H8"/>
    <mergeCell ref="J8:K8"/>
    <mergeCell ref="M8:N8"/>
  </mergeCells>
  <hyperlinks>
    <hyperlink ref="O3" location="Index!A1" display="Index" xr:uid="{376D406E-960C-458A-86B5-3AC1E11920AF}"/>
  </hyperlink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102</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Index</vt:lpstr>
      <vt:lpstr>3.1</vt:lpstr>
      <vt:lpstr>3.2</vt:lpstr>
      <vt:lpstr>3.3</vt:lpstr>
      <vt:lpstr>3.4</vt:lpstr>
      <vt:lpstr>3.5</vt:lpstr>
      <vt:lpstr>3.6</vt:lpstr>
      <vt:lpstr>3.7</vt:lpstr>
      <vt:lpstr>Index!_Hlk33004295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ideal pad</dc:creator>
  <dc:description/>
  <cp:lastModifiedBy>UNODC-Luisa Sánchez Iriarte Mendoza</cp:lastModifiedBy>
  <cp:revision>8</cp:revision>
  <dcterms:created xsi:type="dcterms:W3CDTF">2020-03-23T18:28:48Z</dcterms:created>
  <dcterms:modified xsi:type="dcterms:W3CDTF">2020-06-15T20:30:48Z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